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11"/>
  <workbookPr/>
  <mc:AlternateContent xmlns:mc="http://schemas.openxmlformats.org/markup-compatibility/2006">
    <mc:Choice Requires="x15">
      <x15ac:absPath xmlns:x15ac="http://schemas.microsoft.com/office/spreadsheetml/2010/11/ac" url="C:\Users\jose2\Downloads\"/>
    </mc:Choice>
  </mc:AlternateContent>
  <xr:revisionPtr revIDLastSave="18" documentId="13_ncr:1_{EF6BC253-73D9-4AFE-960C-283C058220D5}" xr6:coauthVersionLast="47" xr6:coauthVersionMax="47" xr10:uidLastSave="{78DC1EF7-F746-4E36-9FCA-D5EF57780614}"/>
  <bookViews>
    <workbookView xWindow="-120" yWindow="-120" windowWidth="20730" windowHeight="11040" xr2:uid="{C38AA51D-130A-49AC-BB1F-1D220A3089F3}"/>
  </bookViews>
  <sheets>
    <sheet name="Hoja1" sheetId="1" r:id="rId1"/>
    <sheet name="Hoja3" sheetId="3" r:id="rId2"/>
    <sheet name="Hoja2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109" i="1" l="1"/>
  <c r="Z109" i="1"/>
  <c r="X109" i="1"/>
  <c r="V109" i="1"/>
  <c r="T109" i="1"/>
  <c r="R109" i="1"/>
  <c r="P109" i="1"/>
  <c r="E109" i="1"/>
  <c r="G109" i="1"/>
  <c r="I109" i="1"/>
  <c r="K109" i="1"/>
  <c r="N109" i="1"/>
  <c r="AA105" i="1"/>
  <c r="AA16" i="1"/>
  <c r="Z111" i="1" l="1"/>
  <c r="AD103" i="1"/>
  <c r="AD104" i="1"/>
  <c r="AD102" i="1"/>
  <c r="AC103" i="1"/>
  <c r="AC104" i="1"/>
  <c r="AC102" i="1"/>
  <c r="AB103" i="1"/>
  <c r="AB104" i="1"/>
  <c r="AB105" i="1"/>
  <c r="AC105" i="1" s="1"/>
  <c r="AB102" i="1"/>
  <c r="AA101" i="1"/>
  <c r="AD30" i="1"/>
  <c r="AD31" i="1"/>
  <c r="AD29" i="1"/>
  <c r="AA83" i="1"/>
  <c r="AD86" i="1"/>
  <c r="AD89" i="1"/>
  <c r="AD90" i="1"/>
  <c r="AD84" i="1"/>
  <c r="AC84" i="1"/>
  <c r="AC85" i="1"/>
  <c r="AC86" i="1"/>
  <c r="AC89" i="1"/>
  <c r="AC90" i="1"/>
  <c r="AB85" i="1"/>
  <c r="AB86" i="1"/>
  <c r="AB87" i="1"/>
  <c r="AC87" i="1" s="1"/>
  <c r="AB88" i="1"/>
  <c r="AC88" i="1" s="1"/>
  <c r="AB89" i="1"/>
  <c r="AB90" i="1"/>
  <c r="AB84" i="1"/>
  <c r="AD81" i="1"/>
  <c r="AD82" i="1"/>
  <c r="AB82" i="1"/>
  <c r="AC82" i="1" s="1"/>
  <c r="AA81" i="1"/>
  <c r="AB81" i="1"/>
  <c r="AD78" i="1"/>
  <c r="AD80" i="1"/>
  <c r="AC80" i="1"/>
  <c r="AC79" i="1"/>
  <c r="AB79" i="1"/>
  <c r="AB80" i="1"/>
  <c r="AD79" i="1"/>
  <c r="AA78" i="1"/>
  <c r="AB78" i="1"/>
  <c r="AD76" i="1"/>
  <c r="AD77" i="1"/>
  <c r="AC77" i="1"/>
  <c r="AB76" i="1"/>
  <c r="AA76" i="1"/>
  <c r="AB77" i="1"/>
  <c r="AD75" i="1"/>
  <c r="AD74" i="1"/>
  <c r="AC75" i="1"/>
  <c r="AC74" i="1"/>
  <c r="AB75" i="1"/>
  <c r="AB74" i="1"/>
  <c r="AA73" i="1"/>
  <c r="AB73" i="1"/>
  <c r="AD69" i="1"/>
  <c r="AC72" i="1"/>
  <c r="AB71" i="1"/>
  <c r="AC71" i="1" s="1"/>
  <c r="AB72" i="1"/>
  <c r="AD72" i="1" s="1"/>
  <c r="AB70" i="1"/>
  <c r="AC70" i="1" s="1"/>
  <c r="AC69" i="1" s="1"/>
  <c r="AA69" i="1"/>
  <c r="AB69" i="1"/>
  <c r="AD67" i="1"/>
  <c r="AD68" i="1"/>
  <c r="AC68" i="1"/>
  <c r="AA67" i="1"/>
  <c r="AB67" i="1"/>
  <c r="AB68" i="1"/>
  <c r="AD55" i="1"/>
  <c r="AD62" i="1"/>
  <c r="AD63" i="1"/>
  <c r="AD65" i="1"/>
  <c r="AD66" i="1"/>
  <c r="AD54" i="1"/>
  <c r="AC55" i="1"/>
  <c r="AC58" i="1"/>
  <c r="AC60" i="1"/>
  <c r="AC62" i="1"/>
  <c r="AC63" i="1"/>
  <c r="AC65" i="1"/>
  <c r="AC66" i="1"/>
  <c r="AC54" i="1"/>
  <c r="AB54" i="1"/>
  <c r="AB55" i="1"/>
  <c r="AB56" i="1"/>
  <c r="AD56" i="1" s="1"/>
  <c r="AB57" i="1"/>
  <c r="AC57" i="1" s="1"/>
  <c r="AB58" i="1"/>
  <c r="AD58" i="1" s="1"/>
  <c r="AB59" i="1"/>
  <c r="AC59" i="1" s="1"/>
  <c r="AB60" i="1"/>
  <c r="AD60" i="1" s="1"/>
  <c r="AB61" i="1"/>
  <c r="AC61" i="1" s="1"/>
  <c r="AB62" i="1"/>
  <c r="AB63" i="1"/>
  <c r="AB64" i="1"/>
  <c r="AC64" i="1" s="1"/>
  <c r="AB65" i="1"/>
  <c r="AB66" i="1"/>
  <c r="AD50" i="1"/>
  <c r="AD52" i="1"/>
  <c r="AD51" i="1"/>
  <c r="AC52" i="1"/>
  <c r="AC51" i="1"/>
  <c r="AA53" i="1"/>
  <c r="Z53" i="1"/>
  <c r="AB52" i="1"/>
  <c r="AB51" i="1"/>
  <c r="AB50" i="1" s="1"/>
  <c r="AA50" i="1"/>
  <c r="Y50" i="1"/>
  <c r="Z50" i="1"/>
  <c r="AD33" i="1"/>
  <c r="AD35" i="1"/>
  <c r="AD36" i="1"/>
  <c r="AD38" i="1"/>
  <c r="AD39" i="1"/>
  <c r="AD40" i="1"/>
  <c r="AD41" i="1"/>
  <c r="AD34" i="1"/>
  <c r="AC35" i="1"/>
  <c r="AC36" i="1"/>
  <c r="AC37" i="1"/>
  <c r="AC38" i="1"/>
  <c r="AC39" i="1"/>
  <c r="AC40" i="1"/>
  <c r="AC41" i="1"/>
  <c r="AC34" i="1"/>
  <c r="AB41" i="1"/>
  <c r="AB35" i="1"/>
  <c r="AB36" i="1"/>
  <c r="AB37" i="1"/>
  <c r="AB38" i="1"/>
  <c r="AB39" i="1"/>
  <c r="AB40" i="1"/>
  <c r="AB34" i="1"/>
  <c r="D33" i="1"/>
  <c r="E33" i="1"/>
  <c r="F33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101" i="1" l="1"/>
  <c r="AD101" i="1" s="1"/>
  <c r="AD105" i="1"/>
  <c r="AD88" i="1"/>
  <c r="AB83" i="1"/>
  <c r="AD83" i="1" s="1"/>
  <c r="AD87" i="1"/>
  <c r="AD85" i="1"/>
  <c r="AD70" i="1"/>
  <c r="AD71" i="1"/>
  <c r="AD64" i="1"/>
  <c r="AD61" i="1"/>
  <c r="AD59" i="1"/>
  <c r="AD57" i="1"/>
  <c r="AB53" i="1"/>
  <c r="AD53" i="1" s="1"/>
  <c r="AC56" i="1"/>
  <c r="AB33" i="1"/>
  <c r="AC31" i="1"/>
  <c r="AC30" i="1"/>
  <c r="AA28" i="1"/>
  <c r="AB30" i="1"/>
  <c r="AB31" i="1"/>
  <c r="AB32" i="1"/>
  <c r="AB29" i="1"/>
  <c r="AC29" i="1" s="1"/>
  <c r="AD25" i="1"/>
  <c r="AD26" i="1"/>
  <c r="AC19" i="1"/>
  <c r="AC25" i="1"/>
  <c r="AC26" i="1"/>
  <c r="AB18" i="1"/>
  <c r="AD18" i="1" s="1"/>
  <c r="AB19" i="1"/>
  <c r="AD19" i="1" s="1"/>
  <c r="AB20" i="1"/>
  <c r="AD20" i="1" s="1"/>
  <c r="AB21" i="1"/>
  <c r="AC21" i="1" s="1"/>
  <c r="AB22" i="1"/>
  <c r="AD22" i="1" s="1"/>
  <c r="AB23" i="1"/>
  <c r="AC23" i="1" s="1"/>
  <c r="AB24" i="1"/>
  <c r="AD24" i="1" s="1"/>
  <c r="AB25" i="1"/>
  <c r="AB26" i="1"/>
  <c r="AB17" i="1"/>
  <c r="AD17" i="1" s="1"/>
  <c r="AD12" i="1"/>
  <c r="AC12" i="1"/>
  <c r="AA6" i="1"/>
  <c r="AB6" i="1"/>
  <c r="Y13" i="1"/>
  <c r="Z13" i="1"/>
  <c r="AA11" i="1"/>
  <c r="AB11" i="1"/>
  <c r="Z11" i="1"/>
  <c r="AB12" i="1"/>
  <c r="AD7" i="1"/>
  <c r="AC7" i="1"/>
  <c r="AB8" i="1"/>
  <c r="AC8" i="1" s="1"/>
  <c r="AB9" i="1"/>
  <c r="AC9" i="1" s="1"/>
  <c r="AB7" i="1"/>
  <c r="AA10" i="1"/>
  <c r="AA13" i="1" s="1"/>
  <c r="Z10" i="1"/>
  <c r="AB5" i="1"/>
  <c r="AD5" i="1" s="1"/>
  <c r="C104" i="1"/>
  <c r="C89" i="1"/>
  <c r="C87" i="1"/>
  <c r="C38" i="1"/>
  <c r="C41" i="1"/>
  <c r="K30" i="1"/>
  <c r="N30" i="1" s="1"/>
  <c r="P30" i="1" s="1"/>
  <c r="R30" i="1" s="1"/>
  <c r="T30" i="1" s="1"/>
  <c r="V30" i="1" s="1"/>
  <c r="X30" i="1" s="1"/>
  <c r="Z30" i="1" s="1"/>
  <c r="I30" i="1"/>
  <c r="G30" i="1"/>
  <c r="G31" i="1"/>
  <c r="I31" i="1" s="1"/>
  <c r="K31" i="1" s="1"/>
  <c r="N31" i="1" s="1"/>
  <c r="P31" i="1" s="1"/>
  <c r="R31" i="1" s="1"/>
  <c r="T31" i="1" s="1"/>
  <c r="V31" i="1" s="1"/>
  <c r="X31" i="1" s="1"/>
  <c r="Z31" i="1" s="1"/>
  <c r="G29" i="1"/>
  <c r="I29" i="1" s="1"/>
  <c r="K29" i="1" s="1"/>
  <c r="N29" i="1" s="1"/>
  <c r="P29" i="1" s="1"/>
  <c r="R29" i="1" s="1"/>
  <c r="T29" i="1" s="1"/>
  <c r="V29" i="1" s="1"/>
  <c r="X29" i="1" s="1"/>
  <c r="Z29" i="1" s="1"/>
  <c r="B30" i="1"/>
  <c r="B31" i="1"/>
  <c r="Y11" i="1"/>
  <c r="W17" i="1"/>
  <c r="Y101" i="1"/>
  <c r="Y83" i="1"/>
  <c r="Y81" i="1"/>
  <c r="Y78" i="1"/>
  <c r="Y73" i="1"/>
  <c r="Y69" i="1"/>
  <c r="Y67" i="1"/>
  <c r="Y53" i="1"/>
  <c r="Y16" i="1"/>
  <c r="Y6" i="1"/>
  <c r="Y10" i="1" s="1"/>
  <c r="F54" i="1"/>
  <c r="F53" i="1" s="1"/>
  <c r="AA106" i="1" l="1"/>
  <c r="AA108" i="1" s="1"/>
  <c r="AB108" i="1" s="1"/>
  <c r="AD21" i="1"/>
  <c r="AC20" i="1"/>
  <c r="AB10" i="1"/>
  <c r="AB13" i="1" s="1"/>
  <c r="AB28" i="1"/>
  <c r="AC24" i="1"/>
  <c r="AD23" i="1"/>
  <c r="AC22" i="1"/>
  <c r="AC18" i="1"/>
  <c r="AC17" i="1"/>
  <c r="AB16" i="1"/>
  <c r="AB106" i="1" s="1"/>
  <c r="AD106" i="1" s="1"/>
  <c r="AC5" i="1"/>
  <c r="Y106" i="1"/>
  <c r="W61" i="1"/>
  <c r="W88" i="1"/>
  <c r="W101" i="1"/>
  <c r="W83" i="1"/>
  <c r="W81" i="1"/>
  <c r="W78" i="1"/>
  <c r="X76" i="1"/>
  <c r="W76" i="1"/>
  <c r="W73" i="1"/>
  <c r="W69" i="1"/>
  <c r="W67" i="1"/>
  <c r="W54" i="1"/>
  <c r="W50" i="1"/>
  <c r="W26" i="1"/>
  <c r="W25" i="1"/>
  <c r="W16" i="1" s="1"/>
  <c r="W11" i="1"/>
  <c r="W6" i="1"/>
  <c r="W10" i="1" s="1"/>
  <c r="U101" i="1"/>
  <c r="U83" i="1"/>
  <c r="U81" i="1"/>
  <c r="U78" i="1"/>
  <c r="V76" i="1"/>
  <c r="U76" i="1"/>
  <c r="U73" i="1"/>
  <c r="U69" i="1"/>
  <c r="U67" i="1"/>
  <c r="U53" i="1"/>
  <c r="U50" i="1"/>
  <c r="U26" i="1"/>
  <c r="U25" i="1"/>
  <c r="U11" i="1"/>
  <c r="U6" i="1"/>
  <c r="U10" i="1" s="1"/>
  <c r="S105" i="1"/>
  <c r="S101" i="1" s="1"/>
  <c r="S83" i="1"/>
  <c r="S81" i="1"/>
  <c r="S78" i="1"/>
  <c r="S76" i="1"/>
  <c r="T76" i="1"/>
  <c r="S73" i="1"/>
  <c r="S69" i="1"/>
  <c r="S67" i="1"/>
  <c r="S54" i="1"/>
  <c r="S53" i="1" s="1"/>
  <c r="S50" i="1"/>
  <c r="S26" i="1"/>
  <c r="S25" i="1"/>
  <c r="S11" i="1"/>
  <c r="S6" i="1"/>
  <c r="S10" i="1" s="1"/>
  <c r="Q101" i="1"/>
  <c r="Q69" i="1"/>
  <c r="Q50" i="1"/>
  <c r="Q25" i="1"/>
  <c r="Q26" i="1"/>
  <c r="AA111" i="1" l="1"/>
  <c r="AD108" i="1"/>
  <c r="AB111" i="1"/>
  <c r="AD111" i="1" s="1"/>
  <c r="Y108" i="1"/>
  <c r="Y111" i="1" s="1"/>
  <c r="W53" i="1"/>
  <c r="U16" i="1"/>
  <c r="U106" i="1" s="1"/>
  <c r="S13" i="1"/>
  <c r="W13" i="1"/>
  <c r="W106" i="1"/>
  <c r="U13" i="1"/>
  <c r="S16" i="1"/>
  <c r="S106" i="1" s="1"/>
  <c r="Q11" i="1"/>
  <c r="Q5" i="1"/>
  <c r="Q6" i="1" s="1"/>
  <c r="Q10" i="1" s="1"/>
  <c r="Q83" i="1"/>
  <c r="Q81" i="1"/>
  <c r="Q78" i="1"/>
  <c r="Q76" i="1"/>
  <c r="R76" i="1"/>
  <c r="Q73" i="1"/>
  <c r="Q67" i="1"/>
  <c r="Q53" i="1"/>
  <c r="Q16" i="1"/>
  <c r="E57" i="1"/>
  <c r="G57" i="1" s="1"/>
  <c r="I57" i="1" s="1"/>
  <c r="K57" i="1" s="1"/>
  <c r="N57" i="1" s="1"/>
  <c r="P57" i="1" s="1"/>
  <c r="R57" i="1" s="1"/>
  <c r="T57" i="1" s="1"/>
  <c r="V57" i="1" s="1"/>
  <c r="X57" i="1" s="1"/>
  <c r="Z57" i="1" s="1"/>
  <c r="C57" i="1"/>
  <c r="C37" i="1"/>
  <c r="E37" i="1"/>
  <c r="G37" i="1" s="1"/>
  <c r="I37" i="1" s="1"/>
  <c r="K37" i="1" s="1"/>
  <c r="N37" i="1" s="1"/>
  <c r="P37" i="1" s="1"/>
  <c r="R37" i="1" s="1"/>
  <c r="T37" i="1" s="1"/>
  <c r="V37" i="1" s="1"/>
  <c r="X37" i="1" s="1"/>
  <c r="Z37" i="1" s="1"/>
  <c r="B58" i="1"/>
  <c r="E58" i="1"/>
  <c r="G58" i="1"/>
  <c r="I58" i="1" s="1"/>
  <c r="O73" i="1"/>
  <c r="O26" i="1"/>
  <c r="O25" i="1"/>
  <c r="O5" i="1"/>
  <c r="O101" i="1"/>
  <c r="O83" i="1"/>
  <c r="O81" i="1"/>
  <c r="O78" i="1"/>
  <c r="O76" i="1"/>
  <c r="P76" i="1"/>
  <c r="O69" i="1"/>
  <c r="O67" i="1"/>
  <c r="O53" i="1"/>
  <c r="O50" i="1"/>
  <c r="O11" i="1"/>
  <c r="M20" i="1"/>
  <c r="M22" i="1"/>
  <c r="M26" i="1"/>
  <c r="M25" i="1"/>
  <c r="M5" i="1"/>
  <c r="M6" i="1" s="1"/>
  <c r="M10" i="1" s="1"/>
  <c r="M101" i="1"/>
  <c r="M83" i="1"/>
  <c r="M81" i="1"/>
  <c r="M78" i="1"/>
  <c r="M76" i="1"/>
  <c r="M73" i="1"/>
  <c r="M69" i="1"/>
  <c r="M67" i="1"/>
  <c r="M53" i="1"/>
  <c r="M50" i="1"/>
  <c r="M11" i="1"/>
  <c r="U108" i="1" l="1"/>
  <c r="S108" i="1"/>
  <c r="S111" i="1" s="1"/>
  <c r="Q13" i="1"/>
  <c r="W108" i="1"/>
  <c r="W111" i="1" s="1"/>
  <c r="O16" i="1"/>
  <c r="U111" i="1"/>
  <c r="Q106" i="1"/>
  <c r="Q108" i="1" s="1"/>
  <c r="M16" i="1"/>
  <c r="M106" i="1" s="1"/>
  <c r="J58" i="1"/>
  <c r="K58" i="1" s="1"/>
  <c r="N58" i="1" s="1"/>
  <c r="P58" i="1" s="1"/>
  <c r="R58" i="1" s="1"/>
  <c r="T58" i="1" s="1"/>
  <c r="V58" i="1" s="1"/>
  <c r="X58" i="1" s="1"/>
  <c r="Z58" i="1" s="1"/>
  <c r="O106" i="1"/>
  <c r="O6" i="1"/>
  <c r="M13" i="1"/>
  <c r="J78" i="1"/>
  <c r="J76" i="1"/>
  <c r="J73" i="1"/>
  <c r="J69" i="1"/>
  <c r="K68" i="1"/>
  <c r="J67" i="1"/>
  <c r="K32" i="1"/>
  <c r="N32" i="1" s="1"/>
  <c r="P32" i="1" s="1"/>
  <c r="R32" i="1" s="1"/>
  <c r="T32" i="1" s="1"/>
  <c r="V32" i="1" s="1"/>
  <c r="X32" i="1" s="1"/>
  <c r="Z32" i="1" s="1"/>
  <c r="AC32" i="1" s="1"/>
  <c r="J11" i="1"/>
  <c r="J6" i="1"/>
  <c r="J10" i="1" s="1"/>
  <c r="H102" i="1"/>
  <c r="H101" i="1" s="1"/>
  <c r="H28" i="1"/>
  <c r="H82" i="1"/>
  <c r="H81" i="1" s="1"/>
  <c r="H23" i="2"/>
  <c r="H20" i="2"/>
  <c r="J8" i="2"/>
  <c r="J6" i="2"/>
  <c r="H16" i="2"/>
  <c r="H66" i="1"/>
  <c r="H63" i="1"/>
  <c r="H12" i="2"/>
  <c r="H7" i="2"/>
  <c r="H21" i="1"/>
  <c r="F10" i="2"/>
  <c r="H83" i="1"/>
  <c r="H78" i="1"/>
  <c r="H76" i="1"/>
  <c r="H73" i="1"/>
  <c r="H69" i="1"/>
  <c r="H67" i="1"/>
  <c r="I67" i="1"/>
  <c r="H50" i="1"/>
  <c r="H11" i="1"/>
  <c r="H6" i="1"/>
  <c r="H10" i="1" s="1"/>
  <c r="D67" i="1"/>
  <c r="E67" i="1"/>
  <c r="F67" i="1"/>
  <c r="G68" i="1"/>
  <c r="G67" i="1" s="1"/>
  <c r="F101" i="1"/>
  <c r="F83" i="1"/>
  <c r="G28" i="1"/>
  <c r="F81" i="1"/>
  <c r="D76" i="1"/>
  <c r="F76" i="1"/>
  <c r="F73" i="1"/>
  <c r="F78" i="1"/>
  <c r="F69" i="1"/>
  <c r="G72" i="1"/>
  <c r="I72" i="1" s="1"/>
  <c r="K72" i="1" s="1"/>
  <c r="N72" i="1" s="1"/>
  <c r="P72" i="1" s="1"/>
  <c r="R72" i="1" s="1"/>
  <c r="T72" i="1" s="1"/>
  <c r="V72" i="1" s="1"/>
  <c r="X72" i="1" s="1"/>
  <c r="Z72" i="1" s="1"/>
  <c r="F50" i="1"/>
  <c r="F16" i="1"/>
  <c r="F11" i="1"/>
  <c r="F6" i="1"/>
  <c r="F10" i="1" s="1"/>
  <c r="D101" i="1"/>
  <c r="E103" i="1"/>
  <c r="G103" i="1" s="1"/>
  <c r="I103" i="1" s="1"/>
  <c r="K103" i="1" s="1"/>
  <c r="N103" i="1" s="1"/>
  <c r="P103" i="1" s="1"/>
  <c r="R103" i="1" s="1"/>
  <c r="T103" i="1" s="1"/>
  <c r="V103" i="1" s="1"/>
  <c r="X103" i="1" s="1"/>
  <c r="Z103" i="1" s="1"/>
  <c r="E104" i="1"/>
  <c r="G104" i="1" s="1"/>
  <c r="I104" i="1" s="1"/>
  <c r="K104" i="1" s="1"/>
  <c r="N104" i="1" s="1"/>
  <c r="P104" i="1" s="1"/>
  <c r="R104" i="1" s="1"/>
  <c r="T104" i="1" s="1"/>
  <c r="V104" i="1" s="1"/>
  <c r="X104" i="1" s="1"/>
  <c r="Z104" i="1" s="1"/>
  <c r="E105" i="1"/>
  <c r="G105" i="1" s="1"/>
  <c r="I105" i="1" s="1"/>
  <c r="K105" i="1" s="1"/>
  <c r="N105" i="1" s="1"/>
  <c r="P105" i="1" s="1"/>
  <c r="R105" i="1" s="1"/>
  <c r="T105" i="1" s="1"/>
  <c r="V105" i="1" s="1"/>
  <c r="X105" i="1" s="1"/>
  <c r="Z105" i="1" s="1"/>
  <c r="E102" i="1"/>
  <c r="G102" i="1" s="1"/>
  <c r="D83" i="1"/>
  <c r="C83" i="1"/>
  <c r="E87" i="1"/>
  <c r="G87" i="1" s="1"/>
  <c r="I87" i="1" s="1"/>
  <c r="K87" i="1" s="1"/>
  <c r="N87" i="1" s="1"/>
  <c r="P87" i="1" s="1"/>
  <c r="R87" i="1" s="1"/>
  <c r="T87" i="1" s="1"/>
  <c r="V87" i="1" s="1"/>
  <c r="X87" i="1" s="1"/>
  <c r="Z87" i="1" s="1"/>
  <c r="E85" i="1"/>
  <c r="G85" i="1" s="1"/>
  <c r="I85" i="1" s="1"/>
  <c r="J85" i="1" s="1"/>
  <c r="J83" i="1" s="1"/>
  <c r="E86" i="1"/>
  <c r="G86" i="1" s="1"/>
  <c r="I86" i="1" s="1"/>
  <c r="K86" i="1" s="1"/>
  <c r="N86" i="1" s="1"/>
  <c r="P86" i="1" s="1"/>
  <c r="R86" i="1" s="1"/>
  <c r="T86" i="1" s="1"/>
  <c r="V86" i="1" s="1"/>
  <c r="X86" i="1" s="1"/>
  <c r="Z86" i="1" s="1"/>
  <c r="E88" i="1"/>
  <c r="G88" i="1" s="1"/>
  <c r="I88" i="1" s="1"/>
  <c r="K88" i="1" s="1"/>
  <c r="N88" i="1" s="1"/>
  <c r="P88" i="1" s="1"/>
  <c r="R88" i="1" s="1"/>
  <c r="T88" i="1" s="1"/>
  <c r="V88" i="1" s="1"/>
  <c r="X88" i="1" s="1"/>
  <c r="Z88" i="1" s="1"/>
  <c r="E89" i="1"/>
  <c r="G89" i="1" s="1"/>
  <c r="I89" i="1" s="1"/>
  <c r="K89" i="1" s="1"/>
  <c r="N89" i="1" s="1"/>
  <c r="P89" i="1" s="1"/>
  <c r="R89" i="1" s="1"/>
  <c r="T89" i="1" s="1"/>
  <c r="V89" i="1" s="1"/>
  <c r="X89" i="1" s="1"/>
  <c r="Z89" i="1" s="1"/>
  <c r="E90" i="1"/>
  <c r="G90" i="1" s="1"/>
  <c r="I90" i="1" s="1"/>
  <c r="K90" i="1" s="1"/>
  <c r="N90" i="1" s="1"/>
  <c r="P90" i="1" s="1"/>
  <c r="R90" i="1" s="1"/>
  <c r="T90" i="1" s="1"/>
  <c r="V90" i="1" s="1"/>
  <c r="X90" i="1" s="1"/>
  <c r="Z90" i="1" s="1"/>
  <c r="E84" i="1"/>
  <c r="G84" i="1" s="1"/>
  <c r="I84" i="1" s="1"/>
  <c r="K84" i="1" s="1"/>
  <c r="N84" i="1" s="1"/>
  <c r="P84" i="1" s="1"/>
  <c r="R84" i="1" s="1"/>
  <c r="T84" i="1" s="1"/>
  <c r="V84" i="1" s="1"/>
  <c r="X84" i="1" s="1"/>
  <c r="Z84" i="1" s="1"/>
  <c r="E82" i="1"/>
  <c r="E81" i="1" s="1"/>
  <c r="D81" i="1"/>
  <c r="E77" i="1"/>
  <c r="G77" i="1" s="1"/>
  <c r="G76" i="1" s="1"/>
  <c r="D78" i="1"/>
  <c r="E80" i="1"/>
  <c r="G80" i="1" s="1"/>
  <c r="I80" i="1" s="1"/>
  <c r="K80" i="1" s="1"/>
  <c r="N80" i="1" s="1"/>
  <c r="P80" i="1" s="1"/>
  <c r="R80" i="1" s="1"/>
  <c r="T80" i="1" s="1"/>
  <c r="V80" i="1" s="1"/>
  <c r="X80" i="1" s="1"/>
  <c r="Z80" i="1" s="1"/>
  <c r="E79" i="1"/>
  <c r="G79" i="1" s="1"/>
  <c r="I79" i="1" s="1"/>
  <c r="K79" i="1" s="1"/>
  <c r="N79" i="1" s="1"/>
  <c r="P79" i="1" s="1"/>
  <c r="R79" i="1" s="1"/>
  <c r="T79" i="1" s="1"/>
  <c r="V79" i="1" s="1"/>
  <c r="X79" i="1" s="1"/>
  <c r="D73" i="1"/>
  <c r="E74" i="1"/>
  <c r="G74" i="1" s="1"/>
  <c r="I74" i="1" s="1"/>
  <c r="K74" i="1" s="1"/>
  <c r="N74" i="1" s="1"/>
  <c r="P74" i="1" s="1"/>
  <c r="R74" i="1" s="1"/>
  <c r="T74" i="1" s="1"/>
  <c r="V74" i="1" s="1"/>
  <c r="X74" i="1" s="1"/>
  <c r="Z74" i="1" s="1"/>
  <c r="E75" i="1"/>
  <c r="G75" i="1" s="1"/>
  <c r="I75" i="1" s="1"/>
  <c r="K75" i="1" s="1"/>
  <c r="N75" i="1" s="1"/>
  <c r="P75" i="1" s="1"/>
  <c r="R75" i="1" s="1"/>
  <c r="T75" i="1" s="1"/>
  <c r="V75" i="1" s="1"/>
  <c r="X75" i="1" s="1"/>
  <c r="Z75" i="1" s="1"/>
  <c r="D69" i="1"/>
  <c r="C69" i="1"/>
  <c r="E71" i="1"/>
  <c r="G71" i="1" s="1"/>
  <c r="I71" i="1" s="1"/>
  <c r="K71" i="1" s="1"/>
  <c r="N71" i="1" s="1"/>
  <c r="P71" i="1" s="1"/>
  <c r="R71" i="1" s="1"/>
  <c r="T71" i="1" s="1"/>
  <c r="V71" i="1" s="1"/>
  <c r="X71" i="1" s="1"/>
  <c r="Z71" i="1" s="1"/>
  <c r="E70" i="1"/>
  <c r="G70" i="1" s="1"/>
  <c r="I70" i="1" s="1"/>
  <c r="K70" i="1" s="1"/>
  <c r="N70" i="1" s="1"/>
  <c r="P70" i="1" s="1"/>
  <c r="R70" i="1" s="1"/>
  <c r="T70" i="1" s="1"/>
  <c r="V70" i="1" s="1"/>
  <c r="X70" i="1" s="1"/>
  <c r="Z70" i="1" s="1"/>
  <c r="D53" i="1"/>
  <c r="E55" i="1"/>
  <c r="G55" i="1" s="1"/>
  <c r="I55" i="1" s="1"/>
  <c r="E56" i="1"/>
  <c r="G56" i="1" s="1"/>
  <c r="I56" i="1" s="1"/>
  <c r="J56" i="1" s="1"/>
  <c r="E59" i="1"/>
  <c r="G59" i="1" s="1"/>
  <c r="I59" i="1" s="1"/>
  <c r="J59" i="1" s="1"/>
  <c r="E60" i="1"/>
  <c r="G60" i="1" s="1"/>
  <c r="I60" i="1" s="1"/>
  <c r="J60" i="1" s="1"/>
  <c r="E61" i="1"/>
  <c r="G61" i="1" s="1"/>
  <c r="I61" i="1" s="1"/>
  <c r="J61" i="1" s="1"/>
  <c r="E62" i="1"/>
  <c r="G62" i="1" s="1"/>
  <c r="I62" i="1" s="1"/>
  <c r="K62" i="1" s="1"/>
  <c r="N62" i="1" s="1"/>
  <c r="P62" i="1" s="1"/>
  <c r="R62" i="1" s="1"/>
  <c r="T62" i="1" s="1"/>
  <c r="V62" i="1" s="1"/>
  <c r="X62" i="1" s="1"/>
  <c r="Z62" i="1" s="1"/>
  <c r="E63" i="1"/>
  <c r="G63" i="1" s="1"/>
  <c r="E64" i="1"/>
  <c r="G64" i="1" s="1"/>
  <c r="I64" i="1" s="1"/>
  <c r="J64" i="1" s="1"/>
  <c r="E65" i="1"/>
  <c r="G65" i="1" s="1"/>
  <c r="I65" i="1" s="1"/>
  <c r="K65" i="1" s="1"/>
  <c r="N65" i="1" s="1"/>
  <c r="P65" i="1" s="1"/>
  <c r="R65" i="1" s="1"/>
  <c r="T65" i="1" s="1"/>
  <c r="V65" i="1" s="1"/>
  <c r="X65" i="1" s="1"/>
  <c r="Z65" i="1" s="1"/>
  <c r="E66" i="1"/>
  <c r="G66" i="1" s="1"/>
  <c r="E54" i="1"/>
  <c r="G54" i="1" s="1"/>
  <c r="I54" i="1" s="1"/>
  <c r="K54" i="1" s="1"/>
  <c r="N54" i="1" s="1"/>
  <c r="P54" i="1" s="1"/>
  <c r="R54" i="1" s="1"/>
  <c r="T54" i="1" s="1"/>
  <c r="V54" i="1" s="1"/>
  <c r="X54" i="1" s="1"/>
  <c r="Z54" i="1" s="1"/>
  <c r="E52" i="1"/>
  <c r="E51" i="1"/>
  <c r="G51" i="1" s="1"/>
  <c r="I51" i="1" s="1"/>
  <c r="K51" i="1" s="1"/>
  <c r="N51" i="1" s="1"/>
  <c r="P51" i="1" s="1"/>
  <c r="R51" i="1" s="1"/>
  <c r="T51" i="1" s="1"/>
  <c r="V51" i="1" s="1"/>
  <c r="X51" i="1" s="1"/>
  <c r="Z51" i="1" s="1"/>
  <c r="D50" i="1"/>
  <c r="C50" i="1"/>
  <c r="E35" i="1"/>
  <c r="G35" i="1" s="1"/>
  <c r="I35" i="1" s="1"/>
  <c r="K35" i="1" s="1"/>
  <c r="N35" i="1" s="1"/>
  <c r="P35" i="1" s="1"/>
  <c r="R35" i="1" s="1"/>
  <c r="T35" i="1" s="1"/>
  <c r="V35" i="1" s="1"/>
  <c r="X35" i="1" s="1"/>
  <c r="Z35" i="1" s="1"/>
  <c r="E36" i="1"/>
  <c r="G36" i="1" s="1"/>
  <c r="I36" i="1" s="1"/>
  <c r="K36" i="1" s="1"/>
  <c r="N36" i="1" s="1"/>
  <c r="P36" i="1" s="1"/>
  <c r="R36" i="1" s="1"/>
  <c r="T36" i="1" s="1"/>
  <c r="V36" i="1" s="1"/>
  <c r="X36" i="1" s="1"/>
  <c r="Z36" i="1" s="1"/>
  <c r="E38" i="1"/>
  <c r="G38" i="1" s="1"/>
  <c r="I38" i="1" s="1"/>
  <c r="K38" i="1" s="1"/>
  <c r="N38" i="1" s="1"/>
  <c r="P38" i="1" s="1"/>
  <c r="R38" i="1" s="1"/>
  <c r="T38" i="1" s="1"/>
  <c r="V38" i="1" s="1"/>
  <c r="X38" i="1" s="1"/>
  <c r="Z38" i="1" s="1"/>
  <c r="E39" i="1"/>
  <c r="G39" i="1" s="1"/>
  <c r="I39" i="1" s="1"/>
  <c r="K39" i="1" s="1"/>
  <c r="N39" i="1" s="1"/>
  <c r="P39" i="1" s="1"/>
  <c r="R39" i="1" s="1"/>
  <c r="T39" i="1" s="1"/>
  <c r="V39" i="1" s="1"/>
  <c r="X39" i="1" s="1"/>
  <c r="Z39" i="1" s="1"/>
  <c r="E40" i="1"/>
  <c r="G40" i="1" s="1"/>
  <c r="I40" i="1" s="1"/>
  <c r="K40" i="1" s="1"/>
  <c r="N40" i="1" s="1"/>
  <c r="P40" i="1" s="1"/>
  <c r="R40" i="1" s="1"/>
  <c r="T40" i="1" s="1"/>
  <c r="V40" i="1" s="1"/>
  <c r="X40" i="1" s="1"/>
  <c r="Z40" i="1" s="1"/>
  <c r="E41" i="1"/>
  <c r="G41" i="1" s="1"/>
  <c r="I41" i="1" s="1"/>
  <c r="K41" i="1" s="1"/>
  <c r="N41" i="1" s="1"/>
  <c r="P41" i="1" s="1"/>
  <c r="R41" i="1" s="1"/>
  <c r="T41" i="1" s="1"/>
  <c r="V41" i="1" s="1"/>
  <c r="X41" i="1" s="1"/>
  <c r="Z41" i="1" s="1"/>
  <c r="E34" i="1"/>
  <c r="G34" i="1" s="1"/>
  <c r="I34" i="1" s="1"/>
  <c r="K34" i="1" s="1"/>
  <c r="N34" i="1" s="1"/>
  <c r="P34" i="1" s="1"/>
  <c r="R34" i="1" s="1"/>
  <c r="T34" i="1" s="1"/>
  <c r="V34" i="1" s="1"/>
  <c r="X34" i="1" s="1"/>
  <c r="Z34" i="1" s="1"/>
  <c r="E26" i="1"/>
  <c r="G26" i="1" s="1"/>
  <c r="E18" i="1"/>
  <c r="G18" i="1" s="1"/>
  <c r="I18" i="1" s="1"/>
  <c r="K18" i="1" s="1"/>
  <c r="N18" i="1" s="1"/>
  <c r="P18" i="1" s="1"/>
  <c r="R18" i="1" s="1"/>
  <c r="T18" i="1" s="1"/>
  <c r="V18" i="1" s="1"/>
  <c r="X18" i="1" s="1"/>
  <c r="Z18" i="1" s="1"/>
  <c r="E19" i="1"/>
  <c r="G19" i="1" s="1"/>
  <c r="I19" i="1" s="1"/>
  <c r="K19" i="1" s="1"/>
  <c r="N19" i="1" s="1"/>
  <c r="P19" i="1" s="1"/>
  <c r="R19" i="1" s="1"/>
  <c r="T19" i="1" s="1"/>
  <c r="V19" i="1" s="1"/>
  <c r="X19" i="1" s="1"/>
  <c r="Z19" i="1" s="1"/>
  <c r="E20" i="1"/>
  <c r="G20" i="1" s="1"/>
  <c r="I20" i="1" s="1"/>
  <c r="K20" i="1" s="1"/>
  <c r="N20" i="1" s="1"/>
  <c r="P20" i="1" s="1"/>
  <c r="R20" i="1" s="1"/>
  <c r="T20" i="1" s="1"/>
  <c r="V20" i="1" s="1"/>
  <c r="X20" i="1" s="1"/>
  <c r="Z20" i="1" s="1"/>
  <c r="E21" i="1"/>
  <c r="G21" i="1" s="1"/>
  <c r="E22" i="1"/>
  <c r="G22" i="1" s="1"/>
  <c r="I22" i="1" s="1"/>
  <c r="K22" i="1" s="1"/>
  <c r="N22" i="1" s="1"/>
  <c r="P22" i="1" s="1"/>
  <c r="R22" i="1" s="1"/>
  <c r="T22" i="1" s="1"/>
  <c r="V22" i="1" s="1"/>
  <c r="X22" i="1" s="1"/>
  <c r="Z22" i="1" s="1"/>
  <c r="E23" i="1"/>
  <c r="G23" i="1" s="1"/>
  <c r="I23" i="1" s="1"/>
  <c r="K23" i="1" s="1"/>
  <c r="N23" i="1" s="1"/>
  <c r="P23" i="1" s="1"/>
  <c r="R23" i="1" s="1"/>
  <c r="T23" i="1" s="1"/>
  <c r="V23" i="1" s="1"/>
  <c r="X23" i="1" s="1"/>
  <c r="Z23" i="1" s="1"/>
  <c r="E24" i="1"/>
  <c r="G24" i="1" s="1"/>
  <c r="I24" i="1" s="1"/>
  <c r="K24" i="1" s="1"/>
  <c r="N24" i="1" s="1"/>
  <c r="P24" i="1" s="1"/>
  <c r="R24" i="1" s="1"/>
  <c r="T24" i="1" s="1"/>
  <c r="V24" i="1" s="1"/>
  <c r="X24" i="1" s="1"/>
  <c r="Z24" i="1" s="1"/>
  <c r="E25" i="1"/>
  <c r="G25" i="1" s="1"/>
  <c r="I25" i="1" s="1"/>
  <c r="K25" i="1" s="1"/>
  <c r="N25" i="1" s="1"/>
  <c r="P25" i="1" s="1"/>
  <c r="R25" i="1" s="1"/>
  <c r="T25" i="1" s="1"/>
  <c r="V25" i="1" s="1"/>
  <c r="X25" i="1" s="1"/>
  <c r="Z25" i="1" s="1"/>
  <c r="E17" i="1"/>
  <c r="G17" i="1" s="1"/>
  <c r="I17" i="1" s="1"/>
  <c r="K17" i="1" s="1"/>
  <c r="N17" i="1" s="1"/>
  <c r="P17" i="1" s="1"/>
  <c r="R17" i="1" s="1"/>
  <c r="T17" i="1" s="1"/>
  <c r="V17" i="1" s="1"/>
  <c r="X17" i="1" s="1"/>
  <c r="Z17" i="1" s="1"/>
  <c r="D16" i="1"/>
  <c r="D11" i="1"/>
  <c r="E12" i="1"/>
  <c r="G12" i="1" s="1"/>
  <c r="G11" i="1" s="1"/>
  <c r="D6" i="1"/>
  <c r="D10" i="1" s="1"/>
  <c r="E8" i="1"/>
  <c r="G8" i="1" s="1"/>
  <c r="I8" i="1" s="1"/>
  <c r="K8" i="1" s="1"/>
  <c r="N8" i="1" s="1"/>
  <c r="P8" i="1" s="1"/>
  <c r="R8" i="1" s="1"/>
  <c r="T8" i="1" s="1"/>
  <c r="V8" i="1" s="1"/>
  <c r="X8" i="1" s="1"/>
  <c r="Z8" i="1" s="1"/>
  <c r="E9" i="1"/>
  <c r="G9" i="1" s="1"/>
  <c r="I9" i="1" s="1"/>
  <c r="K9" i="1" s="1"/>
  <c r="N9" i="1" s="1"/>
  <c r="P9" i="1" s="1"/>
  <c r="R9" i="1" s="1"/>
  <c r="T9" i="1" s="1"/>
  <c r="V9" i="1" s="1"/>
  <c r="X9" i="1" s="1"/>
  <c r="Z9" i="1" s="1"/>
  <c r="E7" i="1"/>
  <c r="G7" i="1" s="1"/>
  <c r="I7" i="1" s="1"/>
  <c r="K7" i="1" s="1"/>
  <c r="N7" i="1" s="1"/>
  <c r="P7" i="1" s="1"/>
  <c r="R7" i="1" s="1"/>
  <c r="T7" i="1" s="1"/>
  <c r="V7" i="1" s="1"/>
  <c r="X7" i="1" s="1"/>
  <c r="Z7" i="1" s="1"/>
  <c r="E5" i="1"/>
  <c r="G5" i="1" s="1"/>
  <c r="I5" i="1" s="1"/>
  <c r="I6" i="1" s="1"/>
  <c r="B105" i="1"/>
  <c r="B104" i="1"/>
  <c r="B103" i="1"/>
  <c r="B102" i="1"/>
  <c r="C101" i="1"/>
  <c r="B90" i="1"/>
  <c r="B89" i="1"/>
  <c r="B88" i="1"/>
  <c r="B87" i="1"/>
  <c r="B86" i="1"/>
  <c r="B85" i="1"/>
  <c r="B84" i="1"/>
  <c r="B82" i="1"/>
  <c r="B81" i="1" s="1"/>
  <c r="C81" i="1"/>
  <c r="B80" i="1"/>
  <c r="B79" i="1"/>
  <c r="C78" i="1"/>
  <c r="B77" i="1"/>
  <c r="B76" i="1" s="1"/>
  <c r="C76" i="1"/>
  <c r="B75" i="1"/>
  <c r="B74" i="1"/>
  <c r="C73" i="1"/>
  <c r="B72" i="1"/>
  <c r="B71" i="1"/>
  <c r="B70" i="1"/>
  <c r="B68" i="1"/>
  <c r="B67" i="1" s="1"/>
  <c r="C67" i="1"/>
  <c r="B66" i="1"/>
  <c r="B65" i="1"/>
  <c r="B64" i="1"/>
  <c r="B63" i="1"/>
  <c r="B62" i="1"/>
  <c r="B61" i="1"/>
  <c r="B60" i="1"/>
  <c r="C59" i="1"/>
  <c r="C56" i="1"/>
  <c r="C55" i="1"/>
  <c r="B54" i="1"/>
  <c r="B52" i="1"/>
  <c r="B51" i="1"/>
  <c r="B41" i="1"/>
  <c r="B40" i="1"/>
  <c r="C39" i="1"/>
  <c r="B38" i="1"/>
  <c r="C36" i="1"/>
  <c r="C35" i="1"/>
  <c r="C34" i="1"/>
  <c r="C28" i="1"/>
  <c r="C29" i="1" s="1"/>
  <c r="B24" i="1"/>
  <c r="B16" i="1" s="1"/>
  <c r="C16" i="1"/>
  <c r="B9" i="1"/>
  <c r="C8" i="1"/>
  <c r="B7" i="1"/>
  <c r="C6" i="1"/>
  <c r="B5" i="1"/>
  <c r="B6" i="1" s="1"/>
  <c r="B29" i="1" l="1"/>
  <c r="AD9" i="1"/>
  <c r="AD8" i="1"/>
  <c r="Z73" i="1"/>
  <c r="X78" i="1"/>
  <c r="Z79" i="1"/>
  <c r="Z69" i="1"/>
  <c r="X73" i="1"/>
  <c r="V73" i="1"/>
  <c r="AD73" i="1" s="1"/>
  <c r="R78" i="1"/>
  <c r="T73" i="1"/>
  <c r="T78" i="1"/>
  <c r="B28" i="1"/>
  <c r="R73" i="1"/>
  <c r="Q111" i="1"/>
  <c r="P69" i="1"/>
  <c r="R69" i="1" s="1"/>
  <c r="T69" i="1" s="1"/>
  <c r="V69" i="1" s="1"/>
  <c r="X69" i="1" s="1"/>
  <c r="P73" i="1"/>
  <c r="P78" i="1"/>
  <c r="O10" i="1"/>
  <c r="O13" i="1" s="1"/>
  <c r="O108" i="1" s="1"/>
  <c r="O111" i="1" s="1"/>
  <c r="M108" i="1"/>
  <c r="M111" i="1" s="1"/>
  <c r="N69" i="1"/>
  <c r="N68" i="1"/>
  <c r="P68" i="1" s="1"/>
  <c r="R68" i="1" s="1"/>
  <c r="T68" i="1" s="1"/>
  <c r="V68" i="1" s="1"/>
  <c r="X68" i="1" s="1"/>
  <c r="Z68" i="1" s="1"/>
  <c r="N73" i="1"/>
  <c r="N78" i="1"/>
  <c r="I28" i="1"/>
  <c r="K28" i="1" s="1"/>
  <c r="N28" i="1" s="1"/>
  <c r="P28" i="1" s="1"/>
  <c r="R28" i="1" s="1"/>
  <c r="T28" i="1" s="1"/>
  <c r="V28" i="1" s="1"/>
  <c r="X28" i="1" s="1"/>
  <c r="K69" i="1"/>
  <c r="K73" i="1"/>
  <c r="K64" i="1"/>
  <c r="N64" i="1" s="1"/>
  <c r="P64" i="1" s="1"/>
  <c r="R64" i="1" s="1"/>
  <c r="T64" i="1" s="1"/>
  <c r="V64" i="1" s="1"/>
  <c r="X64" i="1" s="1"/>
  <c r="Z64" i="1" s="1"/>
  <c r="K60" i="1"/>
  <c r="N60" i="1" s="1"/>
  <c r="P60" i="1" s="1"/>
  <c r="R60" i="1" s="1"/>
  <c r="T60" i="1" s="1"/>
  <c r="V60" i="1" s="1"/>
  <c r="X60" i="1" s="1"/>
  <c r="Z60" i="1" s="1"/>
  <c r="K55" i="1"/>
  <c r="N55" i="1" s="1"/>
  <c r="P55" i="1" s="1"/>
  <c r="R55" i="1" s="1"/>
  <c r="T55" i="1" s="1"/>
  <c r="V55" i="1" s="1"/>
  <c r="X55" i="1" s="1"/>
  <c r="Z55" i="1" s="1"/>
  <c r="K85" i="1"/>
  <c r="N85" i="1" s="1"/>
  <c r="P85" i="1" s="1"/>
  <c r="R85" i="1" s="1"/>
  <c r="T85" i="1" s="1"/>
  <c r="V85" i="1" s="1"/>
  <c r="X85" i="1" s="1"/>
  <c r="Z85" i="1" s="1"/>
  <c r="Z83" i="1" s="1"/>
  <c r="K56" i="1"/>
  <c r="N56" i="1" s="1"/>
  <c r="P56" i="1" s="1"/>
  <c r="R56" i="1" s="1"/>
  <c r="T56" i="1" s="1"/>
  <c r="V56" i="1" s="1"/>
  <c r="X56" i="1" s="1"/>
  <c r="Z56" i="1" s="1"/>
  <c r="K59" i="1"/>
  <c r="N59" i="1" s="1"/>
  <c r="P59" i="1" s="1"/>
  <c r="R59" i="1" s="1"/>
  <c r="T59" i="1" s="1"/>
  <c r="V59" i="1" s="1"/>
  <c r="X59" i="1" s="1"/>
  <c r="Z59" i="1" s="1"/>
  <c r="K61" i="1"/>
  <c r="N61" i="1" s="1"/>
  <c r="P61" i="1" s="1"/>
  <c r="R61" i="1" s="1"/>
  <c r="T61" i="1" s="1"/>
  <c r="V61" i="1" s="1"/>
  <c r="X61" i="1" s="1"/>
  <c r="Z61" i="1" s="1"/>
  <c r="K5" i="1"/>
  <c r="N5" i="1" s="1"/>
  <c r="P5" i="1" s="1"/>
  <c r="R5" i="1" s="1"/>
  <c r="T5" i="1" s="1"/>
  <c r="V5" i="1" s="1"/>
  <c r="X5" i="1" s="1"/>
  <c r="Z5" i="1" s="1"/>
  <c r="K67" i="1"/>
  <c r="K78" i="1"/>
  <c r="J50" i="1"/>
  <c r="J13" i="1"/>
  <c r="I66" i="1"/>
  <c r="K66" i="1" s="1"/>
  <c r="N66" i="1" s="1"/>
  <c r="P66" i="1" s="1"/>
  <c r="R66" i="1" s="1"/>
  <c r="T66" i="1" s="1"/>
  <c r="V66" i="1" s="1"/>
  <c r="X66" i="1" s="1"/>
  <c r="Z66" i="1" s="1"/>
  <c r="I26" i="1"/>
  <c r="K26" i="1" s="1"/>
  <c r="N26" i="1" s="1"/>
  <c r="P26" i="1" s="1"/>
  <c r="R26" i="1" s="1"/>
  <c r="T26" i="1" s="1"/>
  <c r="V26" i="1" s="1"/>
  <c r="X26" i="1" s="1"/>
  <c r="Z26" i="1" s="1"/>
  <c r="I102" i="1"/>
  <c r="H53" i="1"/>
  <c r="I63" i="1"/>
  <c r="I21" i="1"/>
  <c r="J21" i="1" s="1"/>
  <c r="J16" i="1" s="1"/>
  <c r="G53" i="1"/>
  <c r="H13" i="1"/>
  <c r="I73" i="1"/>
  <c r="H16" i="1"/>
  <c r="I12" i="1"/>
  <c r="F13" i="1"/>
  <c r="I77" i="1"/>
  <c r="K77" i="1" s="1"/>
  <c r="N77" i="1" s="1"/>
  <c r="I83" i="1"/>
  <c r="I78" i="1"/>
  <c r="I10" i="1"/>
  <c r="I69" i="1"/>
  <c r="B10" i="1"/>
  <c r="E50" i="1"/>
  <c r="C10" i="1"/>
  <c r="B53" i="1"/>
  <c r="B83" i="1"/>
  <c r="G78" i="1"/>
  <c r="B12" i="1"/>
  <c r="B11" i="1" s="1"/>
  <c r="C11" i="1" s="1"/>
  <c r="B78" i="1"/>
  <c r="D13" i="1"/>
  <c r="B33" i="1"/>
  <c r="B50" i="1"/>
  <c r="E78" i="1"/>
  <c r="E6" i="1"/>
  <c r="E10" i="1" s="1"/>
  <c r="B69" i="1"/>
  <c r="D106" i="1"/>
  <c r="E83" i="1"/>
  <c r="G101" i="1"/>
  <c r="G73" i="1"/>
  <c r="G6" i="1"/>
  <c r="G10" i="1" s="1"/>
  <c r="G83" i="1"/>
  <c r="B73" i="1"/>
  <c r="E69" i="1"/>
  <c r="C33" i="1"/>
  <c r="E53" i="1"/>
  <c r="E11" i="1"/>
  <c r="G16" i="1"/>
  <c r="F106" i="1"/>
  <c r="E76" i="1"/>
  <c r="G82" i="1"/>
  <c r="I82" i="1" s="1"/>
  <c r="B101" i="1"/>
  <c r="C53" i="1"/>
  <c r="E73" i="1"/>
  <c r="E101" i="1"/>
  <c r="G52" i="1"/>
  <c r="I52" i="1" s="1"/>
  <c r="K52" i="1" s="1"/>
  <c r="N52" i="1" s="1"/>
  <c r="G69" i="1"/>
  <c r="E16" i="1"/>
  <c r="C12" i="1"/>
  <c r="AC33" i="1" l="1"/>
  <c r="Z78" i="1"/>
  <c r="AC78" i="1"/>
  <c r="Z28" i="1"/>
  <c r="AD28" i="1" s="1"/>
  <c r="AC67" i="1"/>
  <c r="Z67" i="1"/>
  <c r="AC28" i="1"/>
  <c r="Z6" i="1"/>
  <c r="AD6" i="1"/>
  <c r="AC6" i="1"/>
  <c r="AC10" i="1" s="1"/>
  <c r="AC83" i="1"/>
  <c r="X6" i="1"/>
  <c r="X10" i="1" s="1"/>
  <c r="V83" i="1"/>
  <c r="X83" i="1"/>
  <c r="K6" i="1"/>
  <c r="K10" i="1" s="1"/>
  <c r="X67" i="1"/>
  <c r="V67" i="1"/>
  <c r="V6" i="1"/>
  <c r="V10" i="1" s="1"/>
  <c r="T83" i="1"/>
  <c r="T67" i="1"/>
  <c r="T6" i="1"/>
  <c r="T10" i="1" s="1"/>
  <c r="R6" i="1"/>
  <c r="R10" i="1" s="1"/>
  <c r="R83" i="1"/>
  <c r="R67" i="1"/>
  <c r="AC73" i="1"/>
  <c r="N50" i="1"/>
  <c r="P52" i="1"/>
  <c r="R52" i="1" s="1"/>
  <c r="T52" i="1" s="1"/>
  <c r="V52" i="1" s="1"/>
  <c r="X52" i="1" s="1"/>
  <c r="Z52" i="1" s="1"/>
  <c r="P6" i="1"/>
  <c r="P10" i="1" s="1"/>
  <c r="P83" i="1"/>
  <c r="P67" i="1"/>
  <c r="N76" i="1"/>
  <c r="AC76" i="1"/>
  <c r="N83" i="1"/>
  <c r="N6" i="1"/>
  <c r="N10" i="1" s="1"/>
  <c r="N67" i="1"/>
  <c r="J82" i="1"/>
  <c r="J81" i="1" s="1"/>
  <c r="K76" i="1"/>
  <c r="K50" i="1"/>
  <c r="J102" i="1"/>
  <c r="J101" i="1" s="1"/>
  <c r="J63" i="1"/>
  <c r="J53" i="1" s="1"/>
  <c r="K21" i="1"/>
  <c r="N21" i="1" s="1"/>
  <c r="P21" i="1" s="1"/>
  <c r="R21" i="1" s="1"/>
  <c r="T21" i="1" s="1"/>
  <c r="V21" i="1" s="1"/>
  <c r="X21" i="1" s="1"/>
  <c r="Z21" i="1" s="1"/>
  <c r="K83" i="1"/>
  <c r="I11" i="1"/>
  <c r="I13" i="1" s="1"/>
  <c r="K12" i="1"/>
  <c r="I101" i="1"/>
  <c r="H106" i="1"/>
  <c r="H108" i="1" s="1"/>
  <c r="H111" i="1" s="1"/>
  <c r="I53" i="1"/>
  <c r="I16" i="1"/>
  <c r="F108" i="1"/>
  <c r="F111" i="1" s="1"/>
  <c r="I50" i="1"/>
  <c r="I76" i="1"/>
  <c r="I81" i="1"/>
  <c r="D108" i="1"/>
  <c r="D111" i="1" s="1"/>
  <c r="C13" i="1"/>
  <c r="E106" i="1"/>
  <c r="G81" i="1"/>
  <c r="C106" i="1"/>
  <c r="B106" i="1"/>
  <c r="B13" i="1"/>
  <c r="E13" i="1"/>
  <c r="G13" i="1"/>
  <c r="G50" i="1"/>
  <c r="AC50" i="1" l="1"/>
  <c r="AC16" i="1"/>
  <c r="Z16" i="1"/>
  <c r="AD10" i="1"/>
  <c r="X16" i="1"/>
  <c r="V16" i="1"/>
  <c r="T16" i="1"/>
  <c r="R16" i="1"/>
  <c r="P16" i="1"/>
  <c r="P50" i="1"/>
  <c r="R50" i="1" s="1"/>
  <c r="T50" i="1" s="1"/>
  <c r="V50" i="1" s="1"/>
  <c r="X50" i="1" s="1"/>
  <c r="N16" i="1"/>
  <c r="K11" i="1"/>
  <c r="K13" i="1" s="1"/>
  <c r="N12" i="1"/>
  <c r="P12" i="1" s="1"/>
  <c r="R12" i="1" s="1"/>
  <c r="T12" i="1" s="1"/>
  <c r="V12" i="1" s="1"/>
  <c r="X12" i="1" s="1"/>
  <c r="Z12" i="1" s="1"/>
  <c r="K82" i="1"/>
  <c r="N82" i="1" s="1"/>
  <c r="P82" i="1" s="1"/>
  <c r="R82" i="1" s="1"/>
  <c r="T82" i="1" s="1"/>
  <c r="V82" i="1" s="1"/>
  <c r="X82" i="1" s="1"/>
  <c r="Z82" i="1" s="1"/>
  <c r="J106" i="1"/>
  <c r="J108" i="1" s="1"/>
  <c r="J111" i="1" s="1"/>
  <c r="K63" i="1"/>
  <c r="N63" i="1" s="1"/>
  <c r="P63" i="1" s="1"/>
  <c r="R63" i="1" s="1"/>
  <c r="T63" i="1" s="1"/>
  <c r="V63" i="1" s="1"/>
  <c r="X63" i="1" s="1"/>
  <c r="Z63" i="1" s="1"/>
  <c r="K16" i="1"/>
  <c r="K81" i="1"/>
  <c r="K102" i="1"/>
  <c r="N102" i="1" s="1"/>
  <c r="P102" i="1" s="1"/>
  <c r="R102" i="1" s="1"/>
  <c r="T102" i="1" s="1"/>
  <c r="V102" i="1" s="1"/>
  <c r="X102" i="1" s="1"/>
  <c r="I106" i="1"/>
  <c r="I108" i="1" s="1"/>
  <c r="I111" i="1" s="1"/>
  <c r="E108" i="1"/>
  <c r="E111" i="1" s="1"/>
  <c r="C108" i="1"/>
  <c r="G106" i="1"/>
  <c r="B108" i="1"/>
  <c r="B111" i="1" s="1"/>
  <c r="Z81" i="1" l="1"/>
  <c r="AC81" i="1"/>
  <c r="Z102" i="1"/>
  <c r="X101" i="1"/>
  <c r="X106" i="1" s="1"/>
  <c r="AD16" i="1"/>
  <c r="X81" i="1"/>
  <c r="X11" i="1"/>
  <c r="X13" i="1" s="1"/>
  <c r="AD13" i="1" s="1"/>
  <c r="AC11" i="1"/>
  <c r="AC13" i="1" s="1"/>
  <c r="X53" i="1"/>
  <c r="V11" i="1"/>
  <c r="V13" i="1" s="1"/>
  <c r="V81" i="1"/>
  <c r="T53" i="1"/>
  <c r="T101" i="1"/>
  <c r="AD11" i="1"/>
  <c r="T11" i="1"/>
  <c r="T13" i="1" s="1"/>
  <c r="R11" i="1"/>
  <c r="R13" i="1" s="1"/>
  <c r="R53" i="1"/>
  <c r="R101" i="1"/>
  <c r="R81" i="1"/>
  <c r="P101" i="1"/>
  <c r="P53" i="1"/>
  <c r="P81" i="1"/>
  <c r="P11" i="1"/>
  <c r="P13" i="1" s="1"/>
  <c r="C111" i="1"/>
  <c r="N101" i="1"/>
  <c r="K53" i="1"/>
  <c r="N81" i="1"/>
  <c r="N53" i="1"/>
  <c r="N11" i="1"/>
  <c r="N13" i="1" s="1"/>
  <c r="K101" i="1"/>
  <c r="G108" i="1"/>
  <c r="AC101" i="1" l="1"/>
  <c r="Z101" i="1"/>
  <c r="R106" i="1"/>
  <c r="P106" i="1"/>
  <c r="P108" i="1" s="1"/>
  <c r="R108" i="1" s="1"/>
  <c r="T108" i="1" s="1"/>
  <c r="N106" i="1"/>
  <c r="K106" i="1"/>
  <c r="G111" i="1"/>
  <c r="Z106" i="1" l="1"/>
  <c r="T111" i="1"/>
  <c r="V108" i="1"/>
  <c r="X108" i="1" s="1"/>
  <c r="Z108" i="1" s="1"/>
  <c r="R111" i="1"/>
  <c r="N108" i="1"/>
  <c r="K108" i="1"/>
  <c r="X111" i="1" l="1"/>
  <c r="V111" i="1"/>
  <c r="P111" i="1"/>
  <c r="N111" i="1"/>
  <c r="K111" i="1"/>
  <c r="T81" i="1"/>
  <c r="T106" i="1" l="1"/>
  <c r="AC53" i="1"/>
  <c r="AC106" i="1" s="1"/>
  <c r="V53" i="1"/>
  <c r="V78" i="1"/>
  <c r="V101" i="1"/>
  <c r="AC108" i="1" l="1"/>
  <c r="AC111" i="1" s="1"/>
  <c r="V106" i="1"/>
</calcChain>
</file>

<file path=xl/sharedStrings.xml><?xml version="1.0" encoding="utf-8"?>
<sst xmlns="http://schemas.openxmlformats.org/spreadsheetml/2006/main" count="260" uniqueCount="121">
  <si>
    <t>PRESUPUESTO EJECUTADO  A MAYO DE  2025</t>
  </si>
  <si>
    <t>CONCEPTO</t>
  </si>
  <si>
    <t>INGRESOS OPERACIONALES</t>
  </si>
  <si>
    <t>PRESUPUESTO MENSUAL</t>
  </si>
  <si>
    <t>PRESUPUESTO ANUAL</t>
  </si>
  <si>
    <t>ENERO</t>
  </si>
  <si>
    <t>SALDO ENERO</t>
  </si>
  <si>
    <t>FEBRERO</t>
  </si>
  <si>
    <t>TOTAL FEBRERO</t>
  </si>
  <si>
    <t>MARZO</t>
  </si>
  <si>
    <t>TOTAL MARZO</t>
  </si>
  <si>
    <t>ABRIL</t>
  </si>
  <si>
    <t>TOTAL  ABRIL</t>
  </si>
  <si>
    <t>MAYO</t>
  </si>
  <si>
    <t>TOTAL MAYO</t>
  </si>
  <si>
    <t>JUNIO</t>
  </si>
  <si>
    <t>TOTAL JUNIO</t>
  </si>
  <si>
    <t>JULIO</t>
  </si>
  <si>
    <t>TOTAL JULIO</t>
  </si>
  <si>
    <t>AGOSTO</t>
  </si>
  <si>
    <t>TOTAL AGOSTO</t>
  </si>
  <si>
    <t>SEPTIEMBRE</t>
  </si>
  <si>
    <t>TOTAL SEPTIEMBRE</t>
  </si>
  <si>
    <t>OCTUBRE</t>
  </si>
  <si>
    <t>TOTAL OCTUBRE</t>
  </si>
  <si>
    <t>NOVIEMBRE</t>
  </si>
  <si>
    <t>TOTAL NOVIEMBRE</t>
  </si>
  <si>
    <t>DICIEMBRE</t>
  </si>
  <si>
    <t>TOTAL DICIEMBRE</t>
  </si>
  <si>
    <t>POR EJECUTAR</t>
  </si>
  <si>
    <t>% EJECUTADO</t>
  </si>
  <si>
    <t xml:space="preserve">Por solicitud de calificación (1640 casos del 2025 por valor de $ 1.423,500 + 460 casos del 2024  por  1.300.000) , 175 casos mensuales </t>
  </si>
  <si>
    <t>OTROS INGRESOS</t>
  </si>
  <si>
    <t>Recuperacionespor casos no dictaminados*(15)</t>
  </si>
  <si>
    <t>Rendimiento financiero</t>
  </si>
  <si>
    <t xml:space="preserve">Diversos - </t>
  </si>
  <si>
    <t>TOTAL INGRESOS</t>
  </si>
  <si>
    <t>MENOS COSTO DE PRESTACION DE SERVICIO</t>
  </si>
  <si>
    <t>Honorarios de calificación (60% de  ingresos operacionales)</t>
  </si>
  <si>
    <t>DISPONIBLE PARA GASTOS ADMINISTRATIVOS</t>
  </si>
  <si>
    <t>GASTOS</t>
  </si>
  <si>
    <t>GASTOS DE PERSONAL</t>
  </si>
  <si>
    <t>Sueldos y Salarios</t>
  </si>
  <si>
    <t>Auxilio de Transporte</t>
  </si>
  <si>
    <t>Cesantias</t>
  </si>
  <si>
    <t>Intereses Sobre Cesantias</t>
  </si>
  <si>
    <t>Prima de Servicios</t>
  </si>
  <si>
    <t>Vacaciones</t>
  </si>
  <si>
    <t>Dotaciones</t>
  </si>
  <si>
    <t>Capacitaciones</t>
  </si>
  <si>
    <t>Aportes ARL, EPS, Pension</t>
  </si>
  <si>
    <t>Aportes Parafiscales</t>
  </si>
  <si>
    <t>SISTEMA DE GESTION EN SALUD Y SEGURIDAD EN EL TRABAJO</t>
  </si>
  <si>
    <t>Bienestar al Empleado</t>
  </si>
  <si>
    <t>Examenes médicos</t>
  </si>
  <si>
    <t>Elementos de seguridad e higuiene</t>
  </si>
  <si>
    <t xml:space="preserve">HONORARIOS </t>
  </si>
  <si>
    <t>Revisoria Fiscal</t>
  </si>
  <si>
    <t>Asesoria Juridica (2)</t>
  </si>
  <si>
    <t>Contador</t>
  </si>
  <si>
    <t xml:space="preserve">Asistente juridico </t>
  </si>
  <si>
    <t xml:space="preserve">Gestión de Calidad </t>
  </si>
  <si>
    <t>Gestión de seguridad y salud en el trabajo</t>
  </si>
  <si>
    <t>Asesoría en Gestion Fiscal</t>
  </si>
  <si>
    <t>Asesoría en gestion documental</t>
  </si>
  <si>
    <t>TOTAL ABRIL</t>
  </si>
  <si>
    <t>ARRENDAMIENTO</t>
  </si>
  <si>
    <t>Oficinas</t>
  </si>
  <si>
    <t>Otros- Arriendos</t>
  </si>
  <si>
    <t>SERVICIOS</t>
  </si>
  <si>
    <t xml:space="preserve"> Aseo (corte de arboles, fumigación)</t>
  </si>
  <si>
    <t>Digitación de datos</t>
  </si>
  <si>
    <t>Vigilancia  electronica</t>
  </si>
  <si>
    <t>Asistencia técnica administrativa</t>
  </si>
  <si>
    <t>Acueducto, Alcanta. Y Aseo</t>
  </si>
  <si>
    <t>Energía Electrica</t>
  </si>
  <si>
    <t>Telefono Fijo y Celular</t>
  </si>
  <si>
    <t>Correos, Portes y Mensajeria</t>
  </si>
  <si>
    <t>Transportes,Aereos y Terrestre</t>
  </si>
  <si>
    <t>Gas</t>
  </si>
  <si>
    <t>Custodia y adminsitración documental</t>
  </si>
  <si>
    <t>firma digital</t>
  </si>
  <si>
    <t xml:space="preserve">Otros </t>
  </si>
  <si>
    <t>SEGURO</t>
  </si>
  <si>
    <t>poliza  seguro contra riesgo</t>
  </si>
  <si>
    <t>MANTENIMIENTO Y REPARACIÓN</t>
  </si>
  <si>
    <t>Construcciones y edificaciones</t>
  </si>
  <si>
    <t>Equipo de oficina</t>
  </si>
  <si>
    <t>equipo de procesamiento de datos</t>
  </si>
  <si>
    <t>ADECUACION E INSTALACION</t>
  </si>
  <si>
    <t>Arreglos ornamentales</t>
  </si>
  <si>
    <t>instalaciones electricas y otros</t>
  </si>
  <si>
    <t>GASTOS DE VIAJE</t>
  </si>
  <si>
    <t>Pasajes y viaticos</t>
  </si>
  <si>
    <t>DEPRECIACIONES</t>
  </si>
  <si>
    <t>Equipo de computación</t>
  </si>
  <si>
    <t>AMORTIZACIONES</t>
  </si>
  <si>
    <t>Diferidos</t>
  </si>
  <si>
    <t>GASTOS DIVERSOS</t>
  </si>
  <si>
    <t>lbros, suscripciones</t>
  </si>
  <si>
    <t>Elementos de aseo y cafeteria</t>
  </si>
  <si>
    <t>Seminarios -capacitación integrantes</t>
  </si>
  <si>
    <t>Util. Papelería y Fotocopias</t>
  </si>
  <si>
    <t>Transporte</t>
  </si>
  <si>
    <t>pagina web</t>
  </si>
  <si>
    <t>otros</t>
  </si>
  <si>
    <t xml:space="preserve">TOTAL AGOSTO </t>
  </si>
  <si>
    <t>SALDO NOVIEMBRE</t>
  </si>
  <si>
    <t>GASTOS NO OPERACIONALES</t>
  </si>
  <si>
    <t>Gastos financieros</t>
  </si>
  <si>
    <t>Multas , sanciones y litigios</t>
  </si>
  <si>
    <t>Demandas judiciales</t>
  </si>
  <si>
    <t xml:space="preserve">Otros gastos </t>
  </si>
  <si>
    <t>TOTAL GASTOS</t>
  </si>
  <si>
    <t>REMANENTE ACUMULADO</t>
  </si>
  <si>
    <t xml:space="preserve">COMPRA DE ACTIVOS </t>
  </si>
  <si>
    <t>CRISTO RAFAEL SANCHEZ ACOSTA                                        JOSE DE JESUS MARTINEZ GUTIERREZ</t>
  </si>
  <si>
    <t>Representante legal y director                                           Revisor Fiscal TP 39104-T</t>
  </si>
  <si>
    <t>Administrativo y financieros</t>
  </si>
  <si>
    <t xml:space="preserve">  REINELDA DE J. FONTALVO FRANCO </t>
  </si>
  <si>
    <t xml:space="preserve">Contador público  TP 52518-T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</si>
</sst>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000000"/>
    <numFmt numFmtId="165" formatCode="_-* #,##0.0000_-;\-* #,##0.0000_-;_-* &quot;-&quot;??_-;_-@_-"/>
  </numFmts>
  <fonts count="17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rgb="FF00000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sz val="8"/>
      <color rgb="FF000000"/>
      <name val="Arial"/>
      <family val="2"/>
    </font>
    <font>
      <b/>
      <sz val="8"/>
      <color theme="1"/>
      <name val="Tahoma"/>
      <family val="2"/>
    </font>
    <font>
      <sz val="9"/>
      <color theme="1"/>
      <name val="Aptos Narrow"/>
      <family val="2"/>
      <scheme val="minor"/>
    </font>
    <font>
      <sz val="10"/>
      <name val="MS Sans Serif"/>
    </font>
    <font>
      <b/>
      <sz val="10"/>
      <name val="MS Sans Serif"/>
    </font>
    <font>
      <b/>
      <sz val="9"/>
      <name val="MS Sans Serif"/>
    </font>
  </fonts>
  <fills count="9">
    <fill>
      <patternFill patternType="none"/>
    </fill>
    <fill>
      <patternFill patternType="gray125"/>
    </fill>
    <fill>
      <patternFill patternType="solid">
        <fgColor rgb="FFACB9CA"/>
        <bgColor rgb="FF000000"/>
      </patternFill>
    </fill>
    <fill>
      <patternFill patternType="solid">
        <fgColor rgb="FFE7E6E6"/>
        <bgColor rgb="FF000000"/>
      </patternFill>
    </fill>
    <fill>
      <patternFill patternType="solid">
        <fgColor rgb="FFC9C9C9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EDEDED"/>
        <bgColor rgb="FF000000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</cellStyleXfs>
  <cellXfs count="118">
    <xf numFmtId="0" fontId="0" fillId="0" borderId="0" xfId="0"/>
    <xf numFmtId="0" fontId="5" fillId="4" borderId="1" xfId="0" applyFont="1" applyFill="1" applyBorder="1" applyAlignment="1">
      <alignment horizontal="center"/>
    </xf>
    <xf numFmtId="3" fontId="7" fillId="4" borderId="4" xfId="0" applyNumberFormat="1" applyFont="1" applyFill="1" applyBorder="1"/>
    <xf numFmtId="3" fontId="6" fillId="0" borderId="9" xfId="0" applyNumberFormat="1" applyFont="1" applyBorder="1" applyAlignment="1">
      <alignment horizontal="right"/>
    </xf>
    <xf numFmtId="3" fontId="6" fillId="0" borderId="9" xfId="0" applyNumberFormat="1" applyFont="1" applyBorder="1"/>
    <xf numFmtId="3" fontId="6" fillId="0" borderId="4" xfId="0" applyNumberFormat="1" applyFont="1" applyBorder="1" applyAlignment="1">
      <alignment horizontal="right"/>
    </xf>
    <xf numFmtId="3" fontId="6" fillId="0" borderId="4" xfId="0" applyNumberFormat="1" applyFont="1" applyBorder="1"/>
    <xf numFmtId="3" fontId="7" fillId="4" borderId="0" xfId="0" applyNumberFormat="1" applyFont="1" applyFill="1"/>
    <xf numFmtId="0" fontId="5" fillId="5" borderId="1" xfId="0" applyFont="1" applyFill="1" applyBorder="1" applyAlignment="1">
      <alignment horizontal="left"/>
    </xf>
    <xf numFmtId="3" fontId="7" fillId="5" borderId="4" xfId="0" applyNumberFormat="1" applyFont="1" applyFill="1" applyBorder="1" applyAlignment="1">
      <alignment horizontal="right"/>
    </xf>
    <xf numFmtId="3" fontId="6" fillId="0" borderId="0" xfId="0" applyNumberFormat="1" applyFont="1"/>
    <xf numFmtId="0" fontId="4" fillId="2" borderId="1" xfId="0" applyFont="1" applyFill="1" applyBorder="1" applyAlignment="1">
      <alignment horizontal="left" vertical="center"/>
    </xf>
    <xf numFmtId="3" fontId="7" fillId="2" borderId="10" xfId="0" applyNumberFormat="1" applyFont="1" applyFill="1" applyBorder="1" applyAlignment="1">
      <alignment horizontal="right" vertical="center"/>
    </xf>
    <xf numFmtId="0" fontId="7" fillId="0" borderId="5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/>
    <xf numFmtId="0" fontId="4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4" xfId="0" applyFont="1" applyBorder="1"/>
    <xf numFmtId="0" fontId="4" fillId="3" borderId="8" xfId="0" applyFont="1" applyFill="1" applyBorder="1"/>
    <xf numFmtId="3" fontId="7" fillId="3" borderId="4" xfId="0" applyNumberFormat="1" applyFont="1" applyFill="1" applyBorder="1"/>
    <xf numFmtId="3" fontId="7" fillId="3" borderId="9" xfId="0" applyNumberFormat="1" applyFont="1" applyFill="1" applyBorder="1"/>
    <xf numFmtId="0" fontId="6" fillId="0" borderId="9" xfId="0" applyFont="1" applyBorder="1"/>
    <xf numFmtId="0" fontId="6" fillId="0" borderId="4" xfId="0" applyFont="1" applyBorder="1"/>
    <xf numFmtId="0" fontId="6" fillId="0" borderId="6" xfId="0" applyFont="1" applyBorder="1"/>
    <xf numFmtId="0" fontId="4" fillId="3" borderId="1" xfId="0" applyFont="1" applyFill="1" applyBorder="1"/>
    <xf numFmtId="3" fontId="7" fillId="3" borderId="1" xfId="0" applyNumberFormat="1" applyFont="1" applyFill="1" applyBorder="1"/>
    <xf numFmtId="3" fontId="7" fillId="3" borderId="3" xfId="0" applyNumberFormat="1" applyFont="1" applyFill="1" applyBorder="1"/>
    <xf numFmtId="0" fontId="6" fillId="0" borderId="0" xfId="0" applyFont="1"/>
    <xf numFmtId="3" fontId="6" fillId="0" borderId="0" xfId="0" applyNumberFormat="1" applyFont="1" applyAlignment="1">
      <alignment horizontal="right"/>
    </xf>
    <xf numFmtId="0" fontId="4" fillId="3" borderId="4" xfId="0" applyFont="1" applyFill="1" applyBorder="1"/>
    <xf numFmtId="3" fontId="7" fillId="3" borderId="11" xfId="0" applyNumberFormat="1" applyFont="1" applyFill="1" applyBorder="1"/>
    <xf numFmtId="3" fontId="6" fillId="0" borderId="7" xfId="0" applyNumberFormat="1" applyFont="1" applyBorder="1"/>
    <xf numFmtId="0" fontId="9" fillId="0" borderId="0" xfId="0" applyFont="1"/>
    <xf numFmtId="0" fontId="7" fillId="4" borderId="12" xfId="0" applyFont="1" applyFill="1" applyBorder="1"/>
    <xf numFmtId="3" fontId="7" fillId="4" borderId="13" xfId="0" applyNumberFormat="1" applyFont="1" applyFill="1" applyBorder="1"/>
    <xf numFmtId="0" fontId="7" fillId="6" borderId="12" xfId="0" applyFont="1" applyFill="1" applyBorder="1"/>
    <xf numFmtId="3" fontId="7" fillId="6" borderId="13" xfId="0" applyNumberFormat="1" applyFont="1" applyFill="1" applyBorder="1"/>
    <xf numFmtId="0" fontId="6" fillId="0" borderId="14" xfId="0" applyFont="1" applyBorder="1"/>
    <xf numFmtId="3" fontId="6" fillId="0" borderId="14" xfId="0" applyNumberFormat="1" applyFont="1" applyBorder="1"/>
    <xf numFmtId="0" fontId="7" fillId="3" borderId="12" xfId="0" applyFont="1" applyFill="1" applyBorder="1"/>
    <xf numFmtId="3" fontId="7" fillId="3" borderId="15" xfId="0" applyNumberFormat="1" applyFont="1" applyFill="1" applyBorder="1"/>
    <xf numFmtId="0" fontId="9" fillId="0" borderId="4" xfId="0" applyFont="1" applyBorder="1"/>
    <xf numFmtId="0" fontId="10" fillId="0" borderId="0" xfId="0" applyFont="1"/>
    <xf numFmtId="0" fontId="7" fillId="4" borderId="4" xfId="0" applyFont="1" applyFill="1" applyBorder="1"/>
    <xf numFmtId="0" fontId="7" fillId="3" borderId="4" xfId="0" applyFont="1" applyFill="1" applyBorder="1"/>
    <xf numFmtId="3" fontId="7" fillId="0" borderId="0" xfId="0" applyNumberFormat="1" applyFont="1"/>
    <xf numFmtId="0" fontId="8" fillId="0" borderId="4" xfId="0" applyFont="1" applyBorder="1"/>
    <xf numFmtId="3" fontId="8" fillId="0" borderId="4" xfId="0" applyNumberFormat="1" applyFont="1" applyBorder="1"/>
    <xf numFmtId="0" fontId="9" fillId="0" borderId="4" xfId="0" applyFont="1" applyBorder="1" applyAlignment="1">
      <alignment wrapText="1"/>
    </xf>
    <xf numFmtId="4" fontId="9" fillId="0" borderId="4" xfId="0" applyNumberFormat="1" applyFont="1" applyBorder="1"/>
    <xf numFmtId="4" fontId="9" fillId="0" borderId="6" xfId="0" applyNumberFormat="1" applyFont="1" applyBorder="1"/>
    <xf numFmtId="0" fontId="9" fillId="0" borderId="6" xfId="0" applyFont="1" applyBorder="1"/>
    <xf numFmtId="0" fontId="3" fillId="7" borderId="17" xfId="0" applyFont="1" applyFill="1" applyBorder="1"/>
    <xf numFmtId="0" fontId="11" fillId="0" borderId="0" xfId="0" applyFont="1"/>
    <xf numFmtId="0" fontId="6" fillId="0" borderId="5" xfId="0" applyFont="1" applyBorder="1" applyAlignment="1">
      <alignment horizontal="center" vertical="center" wrapText="1"/>
    </xf>
    <xf numFmtId="3" fontId="7" fillId="5" borderId="4" xfId="0" applyNumberFormat="1" applyFont="1" applyFill="1" applyBorder="1"/>
    <xf numFmtId="0" fontId="6" fillId="0" borderId="5" xfId="0" applyFont="1" applyBorder="1" applyAlignment="1">
      <alignment horizontal="center"/>
    </xf>
    <xf numFmtId="0" fontId="4" fillId="3" borderId="1" xfId="0" applyFont="1" applyFill="1" applyBorder="1" applyAlignment="1">
      <alignment wrapText="1"/>
    </xf>
    <xf numFmtId="0" fontId="4" fillId="0" borderId="1" xfId="0" applyFont="1" applyBorder="1"/>
    <xf numFmtId="3" fontId="7" fillId="0" borderId="1" xfId="0" applyNumberFormat="1" applyFont="1" applyBorder="1"/>
    <xf numFmtId="3" fontId="7" fillId="0" borderId="3" xfId="0" applyNumberFormat="1" applyFont="1" applyBorder="1"/>
    <xf numFmtId="3" fontId="7" fillId="3" borderId="18" xfId="0" applyNumberFormat="1" applyFont="1" applyFill="1" applyBorder="1"/>
    <xf numFmtId="3" fontId="7" fillId="3" borderId="16" xfId="0" applyNumberFormat="1" applyFont="1" applyFill="1" applyBorder="1"/>
    <xf numFmtId="3" fontId="7" fillId="3" borderId="19" xfId="0" applyNumberFormat="1" applyFont="1" applyFill="1" applyBorder="1"/>
    <xf numFmtId="3" fontId="7" fillId="3" borderId="20" xfId="0" applyNumberFormat="1" applyFont="1" applyFill="1" applyBorder="1"/>
    <xf numFmtId="0" fontId="10" fillId="0" borderId="4" xfId="0" applyFont="1" applyBorder="1"/>
    <xf numFmtId="0" fontId="12" fillId="0" borderId="0" xfId="0" applyFont="1"/>
    <xf numFmtId="0" fontId="2" fillId="0" borderId="0" xfId="0" applyFont="1"/>
    <xf numFmtId="10" fontId="6" fillId="0" borderId="4" xfId="1" applyNumberFormat="1" applyFont="1" applyBorder="1"/>
    <xf numFmtId="10" fontId="7" fillId="4" borderId="0" xfId="1" applyNumberFormat="1" applyFont="1" applyFill="1"/>
    <xf numFmtId="10" fontId="7" fillId="4" borderId="4" xfId="1" applyNumberFormat="1" applyFont="1" applyFill="1" applyBorder="1"/>
    <xf numFmtId="10" fontId="7" fillId="3" borderId="3" xfId="1" applyNumberFormat="1" applyFont="1" applyFill="1" applyBorder="1"/>
    <xf numFmtId="10" fontId="7" fillId="3" borderId="4" xfId="1" applyNumberFormat="1" applyFont="1" applyFill="1" applyBorder="1"/>
    <xf numFmtId="10" fontId="8" fillId="4" borderId="2" xfId="1" applyNumberFormat="1" applyFont="1" applyFill="1" applyBorder="1"/>
    <xf numFmtId="10" fontId="6" fillId="0" borderId="9" xfId="1" applyNumberFormat="1" applyFont="1" applyBorder="1"/>
    <xf numFmtId="0" fontId="4" fillId="0" borderId="18" xfId="0" applyFont="1" applyBorder="1" applyAlignment="1">
      <alignment horizontal="center"/>
    </xf>
    <xf numFmtId="0" fontId="5" fillId="4" borderId="9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2" xfId="0" applyBorder="1"/>
    <xf numFmtId="0" fontId="0" fillId="0" borderId="21" xfId="0" applyBorder="1"/>
    <xf numFmtId="43" fontId="0" fillId="0" borderId="0" xfId="2" applyFont="1"/>
    <xf numFmtId="43" fontId="0" fillId="0" borderId="0" xfId="0" applyNumberFormat="1"/>
    <xf numFmtId="0" fontId="4" fillId="4" borderId="3" xfId="0" applyFont="1" applyFill="1" applyBorder="1" applyAlignment="1">
      <alignment horizontal="center"/>
    </xf>
    <xf numFmtId="3" fontId="7" fillId="2" borderId="0" xfId="0" applyNumberFormat="1" applyFont="1" applyFill="1" applyAlignment="1">
      <alignment horizontal="right" vertical="center"/>
    </xf>
    <xf numFmtId="0" fontId="7" fillId="4" borderId="8" xfId="0" applyFont="1" applyFill="1" applyBorder="1" applyAlignment="1">
      <alignment horizontal="left"/>
    </xf>
    <xf numFmtId="10" fontId="7" fillId="4" borderId="9" xfId="1" applyNumberFormat="1" applyFont="1" applyFill="1" applyBorder="1"/>
    <xf numFmtId="0" fontId="6" fillId="0" borderId="4" xfId="0" applyFont="1" applyBorder="1" applyAlignment="1">
      <alignment horizontal="left" wrapText="1"/>
    </xf>
    <xf numFmtId="0" fontId="6" fillId="0" borderId="4" xfId="0" applyFont="1" applyBorder="1" applyAlignment="1">
      <alignment horizontal="left"/>
    </xf>
    <xf numFmtId="0" fontId="7" fillId="3" borderId="8" xfId="0" applyFont="1" applyFill="1" applyBorder="1" applyAlignment="1">
      <alignment wrapText="1"/>
    </xf>
    <xf numFmtId="3" fontId="7" fillId="3" borderId="8" xfId="0" applyNumberFormat="1" applyFont="1" applyFill="1" applyBorder="1" applyAlignment="1">
      <alignment wrapText="1"/>
    </xf>
    <xf numFmtId="0" fontId="4" fillId="3" borderId="9" xfId="0" applyFont="1" applyFill="1" applyBorder="1"/>
    <xf numFmtId="10" fontId="7" fillId="3" borderId="9" xfId="1" applyNumberFormat="1" applyFont="1" applyFill="1" applyBorder="1"/>
    <xf numFmtId="0" fontId="5" fillId="4" borderId="4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 wrapText="1"/>
    </xf>
    <xf numFmtId="3" fontId="6" fillId="0" borderId="6" xfId="0" applyNumberFormat="1" applyFont="1" applyBorder="1"/>
    <xf numFmtId="0" fontId="9" fillId="0" borderId="9" xfId="0" applyFont="1" applyBorder="1"/>
    <xf numFmtId="3" fontId="9" fillId="0" borderId="9" xfId="0" applyNumberFormat="1" applyFont="1" applyBorder="1"/>
    <xf numFmtId="0" fontId="8" fillId="4" borderId="4" xfId="0" applyFont="1" applyFill="1" applyBorder="1"/>
    <xf numFmtId="3" fontId="8" fillId="4" borderId="4" xfId="0" applyNumberFormat="1" applyFont="1" applyFill="1" applyBorder="1"/>
    <xf numFmtId="10" fontId="8" fillId="4" borderId="4" xfId="1" applyNumberFormat="1" applyFont="1" applyFill="1" applyBorder="1"/>
    <xf numFmtId="3" fontId="9" fillId="0" borderId="4" xfId="0" applyNumberFormat="1" applyFont="1" applyBorder="1"/>
    <xf numFmtId="3" fontId="0" fillId="0" borderId="0" xfId="0" applyNumberFormat="1"/>
    <xf numFmtId="43" fontId="13" fillId="0" borderId="0" xfId="2" applyFont="1"/>
    <xf numFmtId="4" fontId="16" fillId="0" borderId="0" xfId="3" applyNumberFormat="1" applyFont="1"/>
    <xf numFmtId="4" fontId="0" fillId="0" borderId="0" xfId="0" applyNumberFormat="1"/>
    <xf numFmtId="164" fontId="0" fillId="0" borderId="0" xfId="0" applyNumberFormat="1"/>
    <xf numFmtId="4" fontId="15" fillId="0" borderId="0" xfId="3" applyNumberFormat="1" applyFont="1"/>
    <xf numFmtId="3" fontId="6" fillId="8" borderId="9" xfId="0" applyNumberFormat="1" applyFont="1" applyFill="1" applyBorder="1"/>
    <xf numFmtId="3" fontId="7" fillId="0" borderId="0" xfId="0" applyNumberFormat="1" applyFont="1" applyAlignment="1">
      <alignment horizontal="right"/>
    </xf>
    <xf numFmtId="10" fontId="0" fillId="0" borderId="0" xfId="1" applyNumberFormat="1" applyFont="1" applyFill="1" applyBorder="1"/>
    <xf numFmtId="165" fontId="6" fillId="0" borderId="0" xfId="2" applyNumberFormat="1" applyFont="1"/>
    <xf numFmtId="3" fontId="7" fillId="3" borderId="7" xfId="0" applyNumberFormat="1" applyFont="1" applyFill="1" applyBorder="1"/>
    <xf numFmtId="43" fontId="14" fillId="0" borderId="0" xfId="3" applyNumberFormat="1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</cellXfs>
  <cellStyles count="4">
    <cellStyle name="Millares" xfId="2" builtinId="3"/>
    <cellStyle name="Normal" xfId="0" builtinId="0"/>
    <cellStyle name="Normal 2" xfId="3" xr:uid="{378E69B2-929B-45A5-86E8-81AAA649660C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1352550</xdr:colOff>
      <xdr:row>0</xdr:row>
      <xdr:rowOff>9525</xdr:rowOff>
    </xdr:from>
    <xdr:to>
      <xdr:col>9</xdr:col>
      <xdr:colOff>212111</xdr:colOff>
      <xdr:row>0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D80ABC6-65AC-E8C2-11ED-1C729EEC5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2550" y="9525"/>
          <a:ext cx="9801225" cy="895350"/>
        </a:xfrm>
        <a:prstGeom prst="rect">
          <a:avLst/>
        </a:prstGeom>
      </xdr:spPr>
    </xdr:pic>
    <xdr:clientData/>
  </xdr:twoCellAnchor>
  <xdr:twoCellAnchor editAs="oneCell">
    <xdr:from>
      <xdr:col>0</xdr:col>
      <xdr:colOff>1390650</xdr:colOff>
      <xdr:row>43</xdr:row>
      <xdr:rowOff>28575</xdr:rowOff>
    </xdr:from>
    <xdr:to>
      <xdr:col>9</xdr:col>
      <xdr:colOff>250211</xdr:colOff>
      <xdr:row>47</xdr:row>
      <xdr:rowOff>161925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737DECD-B8BA-490B-9472-F9269F3D0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90650" y="9629775"/>
          <a:ext cx="9801225" cy="895350"/>
        </a:xfrm>
        <a:prstGeom prst="rect">
          <a:avLst/>
        </a:prstGeom>
      </xdr:spPr>
    </xdr:pic>
    <xdr:clientData/>
  </xdr:twoCellAnchor>
  <xdr:twoCellAnchor editAs="oneCell">
    <xdr:from>
      <xdr:col>0</xdr:col>
      <xdr:colOff>1495425</xdr:colOff>
      <xdr:row>94</xdr:row>
      <xdr:rowOff>38100</xdr:rowOff>
    </xdr:from>
    <xdr:to>
      <xdr:col>9</xdr:col>
      <xdr:colOff>354986</xdr:colOff>
      <xdr:row>98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202CD3A-BA1D-4B03-86BD-208EB7407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5425" y="19354800"/>
          <a:ext cx="9801225" cy="895350"/>
        </a:xfrm>
        <a:prstGeom prst="rect">
          <a:avLst/>
        </a:prstGeom>
      </xdr:spPr>
    </xdr:pic>
    <xdr:clientData/>
  </xdr:twoCellAnchor>
  <xdr:twoCellAnchor editAs="oneCell">
    <xdr:from>
      <xdr:col>11</xdr:col>
      <xdr:colOff>1019175</xdr:colOff>
      <xdr:row>0</xdr:row>
      <xdr:rowOff>19050</xdr:rowOff>
    </xdr:from>
    <xdr:to>
      <xdr:col>19</xdr:col>
      <xdr:colOff>649863</xdr:colOff>
      <xdr:row>0</xdr:row>
      <xdr:rowOff>914400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6875E1-0AE9-40A9-B8F7-4A9CC32FE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96925" y="19050"/>
          <a:ext cx="9801225" cy="895350"/>
        </a:xfrm>
        <a:prstGeom prst="rect">
          <a:avLst/>
        </a:prstGeom>
      </xdr:spPr>
    </xdr:pic>
    <xdr:clientData/>
  </xdr:twoCellAnchor>
  <xdr:twoCellAnchor editAs="oneCell">
    <xdr:from>
      <xdr:col>11</xdr:col>
      <xdr:colOff>942975</xdr:colOff>
      <xdr:row>43</xdr:row>
      <xdr:rowOff>38100</xdr:rowOff>
    </xdr:from>
    <xdr:to>
      <xdr:col>19</xdr:col>
      <xdr:colOff>573663</xdr:colOff>
      <xdr:row>47</xdr:row>
      <xdr:rowOff>171450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B4A6481-B285-4D5A-8833-E13F10DEF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20725" y="9610725"/>
          <a:ext cx="9801225" cy="895350"/>
        </a:xfrm>
        <a:prstGeom prst="rect">
          <a:avLst/>
        </a:prstGeom>
      </xdr:spPr>
    </xdr:pic>
    <xdr:clientData/>
  </xdr:twoCellAnchor>
  <xdr:twoCellAnchor editAs="oneCell">
    <xdr:from>
      <xdr:col>11</xdr:col>
      <xdr:colOff>933450</xdr:colOff>
      <xdr:row>94</xdr:row>
      <xdr:rowOff>28575</xdr:rowOff>
    </xdr:from>
    <xdr:to>
      <xdr:col>19</xdr:col>
      <xdr:colOff>564138</xdr:colOff>
      <xdr:row>98</xdr:row>
      <xdr:rowOff>161925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47D99B2-3BF4-47A6-A84B-E2AB393A7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11200" y="19345275"/>
          <a:ext cx="9801225" cy="895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055C4-D7FB-485C-B1D4-A549C8361FCB}">
  <dimension ref="A1:AF126"/>
  <sheetViews>
    <sheetView tabSelected="1" zoomScale="93" zoomScaleNormal="93" workbookViewId="0">
      <pane xSplit="3" ySplit="4" topLeftCell="D104" activePane="bottomRight" state="frozen"/>
      <selection pane="bottomRight" activeCell="AB111" sqref="AB111"/>
      <selection pane="bottomLeft" activeCell="A5" sqref="A5"/>
      <selection pane="topRight" activeCell="D1" sqref="D1"/>
    </sheetView>
  </sheetViews>
  <sheetFormatPr defaultColWidth="11.42578125" defaultRowHeight="15"/>
  <cols>
    <col min="1" max="1" width="46.7109375" customWidth="1"/>
    <col min="2" max="2" width="17.140625" customWidth="1"/>
    <col min="3" max="3" width="17.7109375" customWidth="1"/>
    <col min="4" max="4" width="14.140625" bestFit="1" customWidth="1"/>
    <col min="5" max="5" width="13.5703125" customWidth="1"/>
    <col min="6" max="6" width="14.85546875" bestFit="1" customWidth="1"/>
    <col min="7" max="9" width="13.28515625" customWidth="1"/>
    <col min="10" max="10" width="14.42578125" bestFit="1" customWidth="1"/>
    <col min="11" max="11" width="13.28515625" customWidth="1"/>
    <col min="12" max="12" width="51.28515625" bestFit="1" customWidth="1"/>
    <col min="13" max="13" width="15.7109375" customWidth="1"/>
    <col min="14" max="14" width="13.28515625" customWidth="1"/>
    <col min="15" max="15" width="14.7109375" customWidth="1"/>
    <col min="16" max="16" width="13.28515625" customWidth="1"/>
    <col min="17" max="17" width="14.85546875" bestFit="1" customWidth="1"/>
    <col min="18" max="18" width="13.28515625" customWidth="1"/>
    <col min="19" max="19" width="16.42578125" customWidth="1"/>
    <col min="20" max="20" width="13.28515625" customWidth="1"/>
    <col min="21" max="21" width="14.5703125" bestFit="1" customWidth="1"/>
    <col min="22" max="22" width="13.28515625" customWidth="1"/>
    <col min="23" max="23" width="15" customWidth="1"/>
    <col min="24" max="24" width="13.28515625" customWidth="1"/>
    <col min="25" max="25" width="15.5703125" customWidth="1"/>
    <col min="26" max="28" width="13.28515625" customWidth="1"/>
    <col min="29" max="29" width="14.140625" customWidth="1"/>
    <col min="30" max="30" width="13.140625" customWidth="1"/>
    <col min="31" max="31" width="13.42578125" bestFit="1" customWidth="1"/>
    <col min="32" max="32" width="18.7109375" bestFit="1" customWidth="1"/>
  </cols>
  <sheetData>
    <row r="1" spans="1:32" ht="76.5" customHeight="1" thickBot="1"/>
    <row r="2" spans="1:32" ht="15.75" thickBot="1">
      <c r="A2" s="115" t="s">
        <v>0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7"/>
    </row>
    <row r="3" spans="1:32" ht="15.75" thickBot="1">
      <c r="A3" s="76" t="s">
        <v>1</v>
      </c>
      <c r="B3" s="78"/>
      <c r="C3" s="79"/>
      <c r="D3" s="80"/>
      <c r="E3" s="80"/>
      <c r="F3" s="80"/>
      <c r="G3" s="80"/>
      <c r="H3" s="80"/>
      <c r="I3" s="80"/>
      <c r="J3" s="80"/>
      <c r="K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1"/>
    </row>
    <row r="4" spans="1:32" ht="24" thickBot="1">
      <c r="A4" s="1" t="s">
        <v>2</v>
      </c>
      <c r="B4" s="77" t="s">
        <v>3</v>
      </c>
      <c r="C4" s="77" t="s">
        <v>4</v>
      </c>
      <c r="D4" s="77" t="s">
        <v>5</v>
      </c>
      <c r="E4" s="77" t="s">
        <v>6</v>
      </c>
      <c r="F4" s="77" t="s">
        <v>7</v>
      </c>
      <c r="G4" s="77" t="s">
        <v>8</v>
      </c>
      <c r="H4" s="77" t="s">
        <v>9</v>
      </c>
      <c r="I4" s="77" t="s">
        <v>10</v>
      </c>
      <c r="J4" s="77" t="s">
        <v>11</v>
      </c>
      <c r="K4" s="77" t="s">
        <v>12</v>
      </c>
      <c r="L4" s="1" t="s">
        <v>2</v>
      </c>
      <c r="M4" s="77" t="s">
        <v>13</v>
      </c>
      <c r="N4" s="77" t="s">
        <v>14</v>
      </c>
      <c r="O4" s="77" t="s">
        <v>15</v>
      </c>
      <c r="P4" s="77" t="s">
        <v>16</v>
      </c>
      <c r="Q4" s="77" t="s">
        <v>17</v>
      </c>
      <c r="R4" s="77" t="s">
        <v>18</v>
      </c>
      <c r="S4" s="77" t="s">
        <v>19</v>
      </c>
      <c r="T4" s="77" t="s">
        <v>20</v>
      </c>
      <c r="U4" s="77" t="s">
        <v>21</v>
      </c>
      <c r="V4" s="77" t="s">
        <v>22</v>
      </c>
      <c r="W4" s="77" t="s">
        <v>23</v>
      </c>
      <c r="X4" s="77" t="s">
        <v>24</v>
      </c>
      <c r="Y4" s="77" t="s">
        <v>25</v>
      </c>
      <c r="Z4" s="77" t="s">
        <v>26</v>
      </c>
      <c r="AA4" s="77" t="s">
        <v>27</v>
      </c>
      <c r="AB4" s="77" t="s">
        <v>28</v>
      </c>
      <c r="AC4" s="77" t="s">
        <v>29</v>
      </c>
      <c r="AD4" s="77" t="s">
        <v>30</v>
      </c>
    </row>
    <row r="5" spans="1:32" ht="62.25" customHeight="1" thickBot="1">
      <c r="A5" s="55" t="s">
        <v>31</v>
      </c>
      <c r="B5" s="5">
        <f>C5/12</f>
        <v>244378333.33333334</v>
      </c>
      <c r="C5" s="6">
        <v>2932540000</v>
      </c>
      <c r="D5" s="5">
        <v>274020000</v>
      </c>
      <c r="E5" s="6">
        <f>D5</f>
        <v>274020000</v>
      </c>
      <c r="F5" s="5">
        <v>257868000</v>
      </c>
      <c r="G5" s="6">
        <f>E5+F5</f>
        <v>531888000</v>
      </c>
      <c r="H5" s="6">
        <v>192549500</v>
      </c>
      <c r="I5" s="6">
        <f>G5+H5</f>
        <v>724437500</v>
      </c>
      <c r="J5" s="6">
        <v>210867800</v>
      </c>
      <c r="K5" s="6">
        <f>I5+J5</f>
        <v>935305300</v>
      </c>
      <c r="L5" s="55" t="s">
        <v>31</v>
      </c>
      <c r="M5" s="6">
        <f>238283500-123500</f>
        <v>238160000</v>
      </c>
      <c r="N5" s="6">
        <f>K5+M5</f>
        <v>1173465300</v>
      </c>
      <c r="O5" s="6">
        <f>280429500</f>
        <v>280429500</v>
      </c>
      <c r="P5" s="6">
        <f>N5+O5</f>
        <v>1453894800</v>
      </c>
      <c r="Q5" s="6">
        <f>338555500-123500</f>
        <v>338432000</v>
      </c>
      <c r="R5" s="6">
        <f>P5+Q5</f>
        <v>1792326800</v>
      </c>
      <c r="S5" s="6">
        <v>305171500</v>
      </c>
      <c r="T5" s="6">
        <f>R5+S5</f>
        <v>2097498300</v>
      </c>
      <c r="U5" s="6">
        <v>286142400</v>
      </c>
      <c r="V5" s="6">
        <f>T5+U5</f>
        <v>2383640700</v>
      </c>
      <c r="W5" s="6">
        <v>315893500</v>
      </c>
      <c r="X5" s="6">
        <f>V5+W5</f>
        <v>2699534200</v>
      </c>
      <c r="Y5" s="6">
        <v>283153000</v>
      </c>
      <c r="Z5" s="6">
        <f>X5+Y5</f>
        <v>2982687200</v>
      </c>
      <c r="AA5" s="6">
        <v>334780850</v>
      </c>
      <c r="AB5" s="6">
        <f>Z5+AA5</f>
        <v>3317468050</v>
      </c>
      <c r="AC5" s="5">
        <f>C5-AB5</f>
        <v>-384928050</v>
      </c>
      <c r="AD5" s="69">
        <f>AB5/C5</f>
        <v>1.1312609717173507</v>
      </c>
    </row>
    <row r="6" spans="1:32">
      <c r="A6" s="84" t="s">
        <v>32</v>
      </c>
      <c r="B6" s="85">
        <f>B5</f>
        <v>244378333.33333334</v>
      </c>
      <c r="C6" s="7">
        <f>C5</f>
        <v>2932540000</v>
      </c>
      <c r="D6" s="7">
        <f t="shared" ref="D6:E6" si="0">D5</f>
        <v>274020000</v>
      </c>
      <c r="E6" s="7">
        <f t="shared" si="0"/>
        <v>274020000</v>
      </c>
      <c r="F6" s="7">
        <f t="shared" ref="F6" si="1">F5</f>
        <v>257868000</v>
      </c>
      <c r="G6" s="7">
        <f t="shared" ref="G6:AB6" si="2">G5</f>
        <v>531888000</v>
      </c>
      <c r="H6" s="7">
        <f t="shared" si="2"/>
        <v>192549500</v>
      </c>
      <c r="I6" s="7">
        <f t="shared" si="2"/>
        <v>724437500</v>
      </c>
      <c r="J6" s="7">
        <f t="shared" si="2"/>
        <v>210867800</v>
      </c>
      <c r="K6" s="7">
        <f t="shared" si="2"/>
        <v>935305300</v>
      </c>
      <c r="L6" s="84" t="s">
        <v>32</v>
      </c>
      <c r="M6" s="7">
        <f t="shared" si="2"/>
        <v>238160000</v>
      </c>
      <c r="N6" s="7">
        <f t="shared" si="2"/>
        <v>1173465300</v>
      </c>
      <c r="O6" s="7">
        <f t="shared" si="2"/>
        <v>280429500</v>
      </c>
      <c r="P6" s="7">
        <f t="shared" si="2"/>
        <v>1453894800</v>
      </c>
      <c r="Q6" s="7">
        <f t="shared" si="2"/>
        <v>338432000</v>
      </c>
      <c r="R6" s="7">
        <f t="shared" si="2"/>
        <v>1792326800</v>
      </c>
      <c r="S6" s="7">
        <f t="shared" si="2"/>
        <v>305171500</v>
      </c>
      <c r="T6" s="7">
        <f t="shared" si="2"/>
        <v>2097498300</v>
      </c>
      <c r="U6" s="7">
        <f t="shared" si="2"/>
        <v>286142400</v>
      </c>
      <c r="V6" s="7">
        <f t="shared" si="2"/>
        <v>2383640700</v>
      </c>
      <c r="W6" s="7">
        <f t="shared" si="2"/>
        <v>315893500</v>
      </c>
      <c r="X6" s="7">
        <f t="shared" si="2"/>
        <v>2699534200</v>
      </c>
      <c r="Y6" s="7">
        <f t="shared" si="2"/>
        <v>283153000</v>
      </c>
      <c r="Z6" s="7">
        <f t="shared" si="2"/>
        <v>2982687200</v>
      </c>
      <c r="AA6" s="7">
        <f t="shared" si="2"/>
        <v>334780850</v>
      </c>
      <c r="AB6" s="7">
        <f t="shared" si="2"/>
        <v>3317468050</v>
      </c>
      <c r="AC6" s="7">
        <f>AC5</f>
        <v>-384928050</v>
      </c>
      <c r="AD6" s="70">
        <f>AD5</f>
        <v>1.1312609717173507</v>
      </c>
    </row>
    <row r="7" spans="1:32" ht="33" customHeight="1">
      <c r="A7" s="88" t="s">
        <v>33</v>
      </c>
      <c r="B7" s="5">
        <f>+C7/12</f>
        <v>650000</v>
      </c>
      <c r="C7" s="6">
        <v>7800000</v>
      </c>
      <c r="D7" s="5">
        <v>520000</v>
      </c>
      <c r="E7" s="6">
        <f>D7</f>
        <v>520000</v>
      </c>
      <c r="F7" s="5"/>
      <c r="G7" s="6">
        <f>E7+F7</f>
        <v>520000</v>
      </c>
      <c r="H7" s="6">
        <v>3064000</v>
      </c>
      <c r="I7" s="6">
        <f>G7+H7</f>
        <v>3584000</v>
      </c>
      <c r="J7" s="6">
        <v>520000</v>
      </c>
      <c r="K7" s="6">
        <f>I7+J7</f>
        <v>4104000</v>
      </c>
      <c r="L7" s="88" t="s">
        <v>33</v>
      </c>
      <c r="M7" s="6"/>
      <c r="N7" s="6">
        <f>K7+M7</f>
        <v>4104000</v>
      </c>
      <c r="O7" s="6">
        <v>4176000</v>
      </c>
      <c r="P7" s="6">
        <f>N7+O7</f>
        <v>8280000</v>
      </c>
      <c r="Q7" s="6"/>
      <c r="R7" s="6">
        <f>P7+Q7</f>
        <v>8280000</v>
      </c>
      <c r="S7" s="6"/>
      <c r="T7" s="6">
        <f>R7+S7</f>
        <v>8280000</v>
      </c>
      <c r="U7" s="6"/>
      <c r="V7" s="6">
        <f>T7+U7</f>
        <v>8280000</v>
      </c>
      <c r="W7" s="6"/>
      <c r="X7" s="6">
        <f>V7+W7</f>
        <v>8280000</v>
      </c>
      <c r="Y7" s="6"/>
      <c r="Z7" s="6">
        <f>X7+Y7</f>
        <v>8280000</v>
      </c>
      <c r="AA7" s="6"/>
      <c r="AB7" s="6">
        <f>Z7+AA7</f>
        <v>8280000</v>
      </c>
      <c r="AC7" s="5">
        <f>C7-AB7</f>
        <v>-480000</v>
      </c>
      <c r="AD7" s="69">
        <f>AB7/C7</f>
        <v>1.0615384615384615</v>
      </c>
      <c r="AF7" s="82"/>
    </row>
    <row r="8" spans="1:32">
      <c r="A8" s="89" t="s">
        <v>34</v>
      </c>
      <c r="B8" s="5">
        <v>17000000</v>
      </c>
      <c r="C8" s="6">
        <f>B8*12</f>
        <v>204000000</v>
      </c>
      <c r="D8" s="5">
        <v>12778594</v>
      </c>
      <c r="E8" s="6">
        <f t="shared" ref="E8:E9" si="3">D8</f>
        <v>12778594</v>
      </c>
      <c r="F8" s="5">
        <v>11793475.35</v>
      </c>
      <c r="G8" s="6">
        <f>E8+F8</f>
        <v>24572069.350000001</v>
      </c>
      <c r="H8" s="6">
        <v>12935087</v>
      </c>
      <c r="I8" s="6">
        <f t="shared" ref="I8:I9" si="4">G8+H8</f>
        <v>37507156.350000001</v>
      </c>
      <c r="J8" s="6">
        <v>13160596</v>
      </c>
      <c r="K8" s="6">
        <f t="shared" ref="K8:K9" si="5">I8+J8</f>
        <v>50667752.350000001</v>
      </c>
      <c r="L8" s="89" t="s">
        <v>34</v>
      </c>
      <c r="M8" s="6">
        <v>13520555</v>
      </c>
      <c r="N8" s="6">
        <f t="shared" ref="N8:N9" si="6">K8+M8</f>
        <v>64188307.350000001</v>
      </c>
      <c r="O8" s="6">
        <v>13257448</v>
      </c>
      <c r="P8" s="6">
        <f t="shared" ref="P8:P9" si="7">N8+O8</f>
        <v>77445755.349999994</v>
      </c>
      <c r="Q8" s="6">
        <v>14279811</v>
      </c>
      <c r="R8" s="6">
        <f t="shared" ref="R8:R9" si="8">P8+Q8</f>
        <v>91725566.349999994</v>
      </c>
      <c r="S8" s="6">
        <v>14021572</v>
      </c>
      <c r="T8" s="6">
        <f t="shared" ref="T8:T9" si="9">R8+S8</f>
        <v>105747138.34999999</v>
      </c>
      <c r="U8" s="6">
        <v>13944983</v>
      </c>
      <c r="V8" s="6">
        <f>T8+U8</f>
        <v>119692121.34999999</v>
      </c>
      <c r="W8" s="6">
        <v>14531754</v>
      </c>
      <c r="X8" s="6">
        <f t="shared" ref="X8:X9" si="10">V8+W8</f>
        <v>134223875.34999999</v>
      </c>
      <c r="Y8" s="6">
        <v>14487110.51</v>
      </c>
      <c r="Z8" s="6">
        <f>X8+Y8</f>
        <v>148710985.85999998</v>
      </c>
      <c r="AA8" s="6">
        <v>15426544.75</v>
      </c>
      <c r="AB8" s="6">
        <f t="shared" ref="AB8:AB9" si="11">Z8+AA8</f>
        <v>164137530.60999998</v>
      </c>
      <c r="AC8" s="5">
        <f>C8-AB8</f>
        <v>39862469.390000015</v>
      </c>
      <c r="AD8" s="69">
        <f>Z8/C8</f>
        <v>0.7289754208823529</v>
      </c>
      <c r="AF8" s="82"/>
    </row>
    <row r="9" spans="1:32">
      <c r="A9" s="89" t="s">
        <v>35</v>
      </c>
      <c r="B9" s="5">
        <f>+C9/12</f>
        <v>16666.666666666668</v>
      </c>
      <c r="C9" s="6">
        <v>200000</v>
      </c>
      <c r="D9" s="5">
        <v>866</v>
      </c>
      <c r="E9" s="6">
        <f t="shared" si="3"/>
        <v>866</v>
      </c>
      <c r="F9" s="5"/>
      <c r="G9" s="6">
        <f>E9+F9</f>
        <v>866</v>
      </c>
      <c r="H9" s="6">
        <v>700</v>
      </c>
      <c r="I9" s="6">
        <f t="shared" si="4"/>
        <v>1566</v>
      </c>
      <c r="J9" s="6">
        <v>449</v>
      </c>
      <c r="K9" s="6">
        <f t="shared" si="5"/>
        <v>2015</v>
      </c>
      <c r="L9" s="89" t="s">
        <v>35</v>
      </c>
      <c r="M9" s="6">
        <v>3</v>
      </c>
      <c r="N9" s="6">
        <f t="shared" si="6"/>
        <v>2018</v>
      </c>
      <c r="O9" s="6">
        <v>685</v>
      </c>
      <c r="P9" s="6">
        <f t="shared" si="7"/>
        <v>2703</v>
      </c>
      <c r="Q9" s="6">
        <v>369</v>
      </c>
      <c r="R9" s="6">
        <f t="shared" si="8"/>
        <v>3072</v>
      </c>
      <c r="S9" s="6">
        <v>9</v>
      </c>
      <c r="T9" s="6">
        <f t="shared" si="9"/>
        <v>3081</v>
      </c>
      <c r="U9" s="6">
        <v>50</v>
      </c>
      <c r="V9" s="6">
        <f>T9+U9</f>
        <v>3131</v>
      </c>
      <c r="W9" s="6">
        <v>16238</v>
      </c>
      <c r="X9" s="6">
        <f t="shared" si="10"/>
        <v>19369</v>
      </c>
      <c r="Y9" s="6"/>
      <c r="Z9" s="6">
        <f t="shared" ref="Z9" si="12">X9+Y9</f>
        <v>19369</v>
      </c>
      <c r="AA9" s="6">
        <v>8555</v>
      </c>
      <c r="AB9" s="6">
        <f t="shared" si="11"/>
        <v>27924</v>
      </c>
      <c r="AC9" s="5">
        <f t="shared" ref="AC9" si="13">C9-AB9</f>
        <v>172076</v>
      </c>
      <c r="AD9" s="69">
        <f t="shared" ref="AD9" si="14">Z9/C9</f>
        <v>9.6845000000000001E-2</v>
      </c>
    </row>
    <row r="10" spans="1:32" ht="15.75" thickBot="1">
      <c r="A10" s="86" t="s">
        <v>36</v>
      </c>
      <c r="B10" s="7">
        <f>SUM(B6:B9)</f>
        <v>262045000</v>
      </c>
      <c r="C10" s="7">
        <f>SUM(C6:C9)</f>
        <v>3144540000</v>
      </c>
      <c r="D10" s="7">
        <f t="shared" ref="D10:E10" si="15">SUM(D6:D9)</f>
        <v>287319460</v>
      </c>
      <c r="E10" s="7">
        <f t="shared" si="15"/>
        <v>287319460</v>
      </c>
      <c r="F10" s="7">
        <f t="shared" ref="F10" si="16">SUM(F6:F9)</f>
        <v>269661475.35000002</v>
      </c>
      <c r="G10" s="7">
        <f t="shared" ref="G10:T10" si="17">SUM(G6:G9)</f>
        <v>556980935.35000002</v>
      </c>
      <c r="H10" s="7">
        <f t="shared" si="17"/>
        <v>208549287</v>
      </c>
      <c r="I10" s="7">
        <f t="shared" si="17"/>
        <v>765530222.35000002</v>
      </c>
      <c r="J10" s="7">
        <f t="shared" si="17"/>
        <v>224548845</v>
      </c>
      <c r="K10" s="7">
        <f t="shared" si="17"/>
        <v>990079067.35000002</v>
      </c>
      <c r="L10" s="86" t="s">
        <v>36</v>
      </c>
      <c r="M10" s="7">
        <f t="shared" si="17"/>
        <v>251680558</v>
      </c>
      <c r="N10" s="7">
        <f t="shared" si="17"/>
        <v>1241759625.3499999</v>
      </c>
      <c r="O10" s="7">
        <f>SUM(O6:O9)</f>
        <v>297863633</v>
      </c>
      <c r="P10" s="7">
        <f t="shared" si="17"/>
        <v>1539623258.3499999</v>
      </c>
      <c r="Q10" s="7">
        <f t="shared" si="17"/>
        <v>352712180</v>
      </c>
      <c r="R10" s="7">
        <f t="shared" si="17"/>
        <v>1892335438.3499999</v>
      </c>
      <c r="S10" s="7">
        <f t="shared" si="17"/>
        <v>319193081</v>
      </c>
      <c r="T10" s="7">
        <f t="shared" si="17"/>
        <v>2211528519.3499999</v>
      </c>
      <c r="U10" s="7">
        <f>SUM(U6:U9)</f>
        <v>300087433</v>
      </c>
      <c r="V10" s="7">
        <f>SUM(V6:V9)</f>
        <v>2511615952.3499999</v>
      </c>
      <c r="W10" s="7">
        <f t="shared" ref="W10:Y10" si="18">SUM(W6:W9)</f>
        <v>330441492</v>
      </c>
      <c r="X10" s="7">
        <f t="shared" si="18"/>
        <v>2842057444.3499999</v>
      </c>
      <c r="Y10" s="7">
        <f t="shared" si="18"/>
        <v>297640110.50999999</v>
      </c>
      <c r="Z10" s="7">
        <f>SUM(Z6:Z9)</f>
        <v>3139697554.8600001</v>
      </c>
      <c r="AA10" s="7">
        <f t="shared" ref="AA10:AB10" si="19">SUM(AA6:AA9)</f>
        <v>350215949.75</v>
      </c>
      <c r="AB10" s="7">
        <f t="shared" si="19"/>
        <v>3489913504.6100001</v>
      </c>
      <c r="AC10" s="7">
        <f>SUM(AC6:AC9)</f>
        <v>-345373504.61000001</v>
      </c>
      <c r="AD10" s="87">
        <f>X10/C10</f>
        <v>0.90380705742334333</v>
      </c>
    </row>
    <row r="11" spans="1:32" ht="15.75" thickBot="1">
      <c r="A11" s="8" t="s">
        <v>37</v>
      </c>
      <c r="B11" s="9">
        <f>B12</f>
        <v>146627000</v>
      </c>
      <c r="C11" s="56">
        <f>B11*12</f>
        <v>1759524000</v>
      </c>
      <c r="D11" s="9">
        <f>D12</f>
        <v>164412000</v>
      </c>
      <c r="E11" s="9">
        <f>E12</f>
        <v>164412000</v>
      </c>
      <c r="F11" s="9">
        <f t="shared" ref="F11:Y11" si="20">F12</f>
        <v>154720800</v>
      </c>
      <c r="G11" s="9">
        <f t="shared" si="20"/>
        <v>319132800</v>
      </c>
      <c r="H11" s="9">
        <f t="shared" si="20"/>
        <v>115529700</v>
      </c>
      <c r="I11" s="9">
        <f t="shared" si="20"/>
        <v>434662500</v>
      </c>
      <c r="J11" s="9">
        <f t="shared" si="20"/>
        <v>126521280</v>
      </c>
      <c r="K11" s="9">
        <f t="shared" si="20"/>
        <v>561183780</v>
      </c>
      <c r="L11" s="8" t="s">
        <v>37</v>
      </c>
      <c r="M11" s="9">
        <f t="shared" si="20"/>
        <v>142896000</v>
      </c>
      <c r="N11" s="9">
        <f t="shared" si="20"/>
        <v>704079780</v>
      </c>
      <c r="O11" s="9">
        <f t="shared" si="20"/>
        <v>168257700</v>
      </c>
      <c r="P11" s="9">
        <f t="shared" si="20"/>
        <v>872337480</v>
      </c>
      <c r="Q11" s="9">
        <f t="shared" si="20"/>
        <v>203058600</v>
      </c>
      <c r="R11" s="9">
        <f t="shared" si="20"/>
        <v>1075396080</v>
      </c>
      <c r="S11" s="9">
        <f t="shared" si="20"/>
        <v>183102900</v>
      </c>
      <c r="T11" s="9">
        <f t="shared" si="20"/>
        <v>1258498980</v>
      </c>
      <c r="U11" s="9">
        <f t="shared" si="20"/>
        <v>171685440</v>
      </c>
      <c r="V11" s="9">
        <f t="shared" si="20"/>
        <v>1430184420</v>
      </c>
      <c r="W11" s="9">
        <f t="shared" si="20"/>
        <v>189536100</v>
      </c>
      <c r="X11" s="9">
        <f t="shared" si="20"/>
        <v>1619720520</v>
      </c>
      <c r="Y11" s="9">
        <f t="shared" si="20"/>
        <v>169891800</v>
      </c>
      <c r="Z11" s="9">
        <f>Z12</f>
        <v>1789612320</v>
      </c>
      <c r="AA11" s="9">
        <f t="shared" ref="AA11:AB11" si="21">AA12</f>
        <v>200868512</v>
      </c>
      <c r="AB11" s="9">
        <f t="shared" si="21"/>
        <v>1990480832</v>
      </c>
      <c r="AC11" s="9">
        <f>AC12</f>
        <v>-230956832</v>
      </c>
      <c r="AD11" s="71">
        <f>AD12</f>
        <v>1.1312609728540219</v>
      </c>
      <c r="AF11" s="110"/>
    </row>
    <row r="12" spans="1:32" ht="15.75" thickBot="1">
      <c r="A12" s="57" t="s">
        <v>38</v>
      </c>
      <c r="B12" s="5">
        <f>B5*60%</f>
        <v>146627000</v>
      </c>
      <c r="C12" s="6">
        <f>+C6*60%</f>
        <v>1759524000</v>
      </c>
      <c r="D12" s="5">
        <v>164412000</v>
      </c>
      <c r="E12" s="6">
        <f>D12</f>
        <v>164412000</v>
      </c>
      <c r="F12" s="5">
        <v>154720800</v>
      </c>
      <c r="G12" s="6">
        <f>E12+F12</f>
        <v>319132800</v>
      </c>
      <c r="H12" s="6">
        <v>115529700</v>
      </c>
      <c r="I12" s="6">
        <f>G12+H12</f>
        <v>434662500</v>
      </c>
      <c r="J12" s="6">
        <v>126521280</v>
      </c>
      <c r="K12" s="6">
        <f>I12+J12</f>
        <v>561183780</v>
      </c>
      <c r="L12" s="57" t="s">
        <v>38</v>
      </c>
      <c r="M12" s="6">
        <v>142896000</v>
      </c>
      <c r="N12" s="6">
        <f>K12+M12</f>
        <v>704079780</v>
      </c>
      <c r="O12" s="6">
        <v>168257700</v>
      </c>
      <c r="P12" s="6">
        <f>N12+O12</f>
        <v>872337480</v>
      </c>
      <c r="Q12" s="6">
        <v>203058600</v>
      </c>
      <c r="R12" s="6">
        <f>P12+Q12</f>
        <v>1075396080</v>
      </c>
      <c r="S12" s="6">
        <v>183102900</v>
      </c>
      <c r="T12" s="6">
        <f>R12+S12</f>
        <v>1258498980</v>
      </c>
      <c r="U12" s="6">
        <v>171685440</v>
      </c>
      <c r="V12" s="6">
        <f>T12+U12</f>
        <v>1430184420</v>
      </c>
      <c r="W12" s="6">
        <v>189536100</v>
      </c>
      <c r="X12" s="6">
        <f>V12+W12</f>
        <v>1619720520</v>
      </c>
      <c r="Y12" s="6">
        <v>169891800</v>
      </c>
      <c r="Z12" s="6">
        <f>X12+Y12</f>
        <v>1789612320</v>
      </c>
      <c r="AA12" s="6">
        <v>200868512</v>
      </c>
      <c r="AB12" s="6">
        <f>Z12+AA12</f>
        <v>1990480832</v>
      </c>
      <c r="AC12" s="5">
        <f>C12-AB12</f>
        <v>-230956832</v>
      </c>
      <c r="AD12" s="69">
        <f>AB12/C12</f>
        <v>1.1312609728540219</v>
      </c>
      <c r="AF12" s="111"/>
    </row>
    <row r="13" spans="1:32" ht="15.75" thickBot="1">
      <c r="A13" s="11" t="s">
        <v>39</v>
      </c>
      <c r="B13" s="12">
        <f>+B10-B11</f>
        <v>115418000</v>
      </c>
      <c r="C13" s="12">
        <f>+C10-C11</f>
        <v>1385016000</v>
      </c>
      <c r="D13" s="12">
        <f t="shared" ref="D13:O13" si="22">+D10-D11</f>
        <v>122907460</v>
      </c>
      <c r="E13" s="12">
        <f t="shared" si="22"/>
        <v>122907460</v>
      </c>
      <c r="F13" s="12">
        <f t="shared" si="22"/>
        <v>114940675.35000002</v>
      </c>
      <c r="G13" s="12">
        <f t="shared" si="22"/>
        <v>237848135.35000002</v>
      </c>
      <c r="H13" s="12">
        <f t="shared" si="22"/>
        <v>93019587</v>
      </c>
      <c r="I13" s="12">
        <f t="shared" si="22"/>
        <v>330867722.35000002</v>
      </c>
      <c r="J13" s="12">
        <f t="shared" si="22"/>
        <v>98027565</v>
      </c>
      <c r="K13" s="12">
        <f t="shared" si="22"/>
        <v>428895287.35000002</v>
      </c>
      <c r="L13" s="11" t="s">
        <v>39</v>
      </c>
      <c r="M13" s="12">
        <f t="shared" si="22"/>
        <v>108784558</v>
      </c>
      <c r="N13" s="12">
        <f t="shared" si="22"/>
        <v>537679845.3499999</v>
      </c>
      <c r="O13" s="12">
        <f t="shared" si="22"/>
        <v>129605933</v>
      </c>
      <c r="P13" s="12">
        <f>+P10-P11</f>
        <v>667285778.3499999</v>
      </c>
      <c r="Q13" s="12">
        <f t="shared" ref="Q13:W13" si="23">+Q10-Q11</f>
        <v>149653580</v>
      </c>
      <c r="R13" s="12">
        <f t="shared" si="23"/>
        <v>816939358.3499999</v>
      </c>
      <c r="S13" s="12">
        <f t="shared" si="23"/>
        <v>136090181</v>
      </c>
      <c r="T13" s="12">
        <f t="shared" si="23"/>
        <v>953029539.3499999</v>
      </c>
      <c r="U13" s="12">
        <f t="shared" si="23"/>
        <v>128401993</v>
      </c>
      <c r="V13" s="12">
        <f t="shared" si="23"/>
        <v>1081431532.3499999</v>
      </c>
      <c r="W13" s="12">
        <f t="shared" si="23"/>
        <v>140905392</v>
      </c>
      <c r="X13" s="12">
        <f t="shared" ref="X13:AC13" si="24">+X10-X11</f>
        <v>1222336924.3499999</v>
      </c>
      <c r="Y13" s="12">
        <f t="shared" si="24"/>
        <v>127748310.50999999</v>
      </c>
      <c r="Z13" s="12">
        <f t="shared" si="24"/>
        <v>1350085234.8600001</v>
      </c>
      <c r="AA13" s="12">
        <f t="shared" si="24"/>
        <v>149347437.75</v>
      </c>
      <c r="AB13" s="12">
        <f t="shared" si="24"/>
        <v>1499432672.6100001</v>
      </c>
      <c r="AC13" s="12">
        <f t="shared" si="24"/>
        <v>-114416672.61000001</v>
      </c>
      <c r="AD13" s="71">
        <f>X13/C13</f>
        <v>0.88254354054393591</v>
      </c>
    </row>
    <row r="14" spans="1:32">
      <c r="A14" s="13"/>
      <c r="B14" s="14"/>
      <c r="C14" s="15"/>
      <c r="D14" s="14"/>
      <c r="E14" s="15"/>
      <c r="F14" s="14"/>
      <c r="G14" s="15"/>
      <c r="H14" s="15"/>
      <c r="I14" s="15"/>
      <c r="J14" s="15"/>
      <c r="K14" s="15"/>
      <c r="L14" s="13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4"/>
      <c r="AD14" s="15"/>
      <c r="AF14" s="103"/>
    </row>
    <row r="15" spans="1:32">
      <c r="A15" s="16" t="s">
        <v>40</v>
      </c>
      <c r="B15" s="17"/>
      <c r="C15" s="18"/>
      <c r="D15" s="17"/>
      <c r="E15" s="18"/>
      <c r="F15" s="17"/>
      <c r="G15" s="18"/>
      <c r="H15" s="18"/>
      <c r="I15" s="18"/>
      <c r="J15" s="18"/>
      <c r="K15" s="18"/>
      <c r="L15" s="16" t="s">
        <v>40</v>
      </c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7"/>
      <c r="AD15" s="18"/>
    </row>
    <row r="16" spans="1:32" ht="15.75" thickBot="1">
      <c r="A16" s="19" t="s">
        <v>41</v>
      </c>
      <c r="B16" s="20">
        <f>SUM(B17:B26)</f>
        <v>38637379.754133336</v>
      </c>
      <c r="C16" s="21">
        <f>SUM(C17:C26)</f>
        <v>463648557.04960001</v>
      </c>
      <c r="D16" s="21">
        <f t="shared" ref="D16:E16" si="25">SUM(D17:D26)</f>
        <v>34763441</v>
      </c>
      <c r="E16" s="21">
        <f t="shared" si="25"/>
        <v>34763441</v>
      </c>
      <c r="F16" s="21">
        <f t="shared" ref="F16" si="26">SUM(F17:F26)</f>
        <v>39613460</v>
      </c>
      <c r="G16" s="21">
        <f t="shared" ref="G16:AB16" si="27">SUM(G17:G26)</f>
        <v>74376901</v>
      </c>
      <c r="H16" s="21">
        <f t="shared" si="27"/>
        <v>37832833</v>
      </c>
      <c r="I16" s="21">
        <f t="shared" si="27"/>
        <v>112209734</v>
      </c>
      <c r="J16" s="21">
        <f t="shared" si="27"/>
        <v>39909595</v>
      </c>
      <c r="K16" s="21">
        <f t="shared" si="27"/>
        <v>152119329</v>
      </c>
      <c r="L16" s="19" t="s">
        <v>41</v>
      </c>
      <c r="M16" s="21">
        <f>SUM(M17:M26)</f>
        <v>38231881</v>
      </c>
      <c r="N16" s="21">
        <f t="shared" si="27"/>
        <v>190351210</v>
      </c>
      <c r="O16" s="21">
        <f t="shared" si="27"/>
        <v>37067218</v>
      </c>
      <c r="P16" s="21">
        <f t="shared" si="27"/>
        <v>227418428</v>
      </c>
      <c r="Q16" s="21">
        <f t="shared" si="27"/>
        <v>41920122</v>
      </c>
      <c r="R16" s="21">
        <f t="shared" si="27"/>
        <v>269338550</v>
      </c>
      <c r="S16" s="21">
        <f t="shared" si="27"/>
        <v>37845963</v>
      </c>
      <c r="T16" s="21">
        <f t="shared" si="27"/>
        <v>307184513</v>
      </c>
      <c r="U16" s="21">
        <f>SUM(U17:U26)</f>
        <v>39604457</v>
      </c>
      <c r="V16" s="21">
        <f t="shared" si="27"/>
        <v>346788970</v>
      </c>
      <c r="W16" s="21">
        <f>SUM(W17:W26)</f>
        <v>37459836</v>
      </c>
      <c r="X16" s="21">
        <f t="shared" si="27"/>
        <v>384248806</v>
      </c>
      <c r="Y16" s="21">
        <f>SUM(Y17:Y26)</f>
        <v>41539550</v>
      </c>
      <c r="Z16" s="21">
        <f t="shared" si="27"/>
        <v>425788356</v>
      </c>
      <c r="AA16" s="21">
        <f>SUM(AA17:AA26)</f>
        <v>44552064</v>
      </c>
      <c r="AB16" s="21">
        <f t="shared" si="27"/>
        <v>470340420</v>
      </c>
      <c r="AC16" s="21">
        <f>SUM(AC17:AC26)</f>
        <v>-6691862.9503999949</v>
      </c>
      <c r="AD16" s="71">
        <f>Z16/C16</f>
        <v>0.91834289037688133</v>
      </c>
      <c r="AE16" s="113"/>
      <c r="AF16" s="114"/>
    </row>
    <row r="17" spans="1:32">
      <c r="A17" s="22" t="s">
        <v>42</v>
      </c>
      <c r="B17" s="6">
        <v>22354640</v>
      </c>
      <c r="C17" s="6">
        <v>268255680</v>
      </c>
      <c r="D17" s="6">
        <v>21132907</v>
      </c>
      <c r="E17" s="6">
        <f>D17</f>
        <v>21132907</v>
      </c>
      <c r="F17" s="6">
        <v>21516059</v>
      </c>
      <c r="G17" s="6">
        <f>E17+F17</f>
        <v>42648966</v>
      </c>
      <c r="H17" s="6">
        <v>22108240</v>
      </c>
      <c r="I17" s="6">
        <f>G17+H17</f>
        <v>64757206</v>
      </c>
      <c r="J17" s="6">
        <v>22240064</v>
      </c>
      <c r="K17" s="6">
        <f>I17+J17</f>
        <v>86997270</v>
      </c>
      <c r="L17" s="22" t="s">
        <v>42</v>
      </c>
      <c r="M17" s="6">
        <v>20983219</v>
      </c>
      <c r="N17" s="6">
        <f>K17+M17</f>
        <v>107980489</v>
      </c>
      <c r="O17" s="6">
        <v>22108240</v>
      </c>
      <c r="P17" s="6">
        <f>N17+O17</f>
        <v>130088729</v>
      </c>
      <c r="Q17" s="6">
        <v>22354640</v>
      </c>
      <c r="R17" s="6">
        <f>P17+Q17</f>
        <v>152443369</v>
      </c>
      <c r="S17" s="6">
        <v>22924040</v>
      </c>
      <c r="T17" s="6">
        <f>R17+S17</f>
        <v>175367409</v>
      </c>
      <c r="U17" s="6">
        <v>23646316</v>
      </c>
      <c r="V17" s="6">
        <f>T17+U17</f>
        <v>199013725</v>
      </c>
      <c r="W17" s="6">
        <f>21928443+358548</f>
        <v>22286991</v>
      </c>
      <c r="X17" s="6">
        <f>V17+W17</f>
        <v>221300716</v>
      </c>
      <c r="Y17" s="6">
        <v>23973502</v>
      </c>
      <c r="Z17" s="6">
        <f>X17+Y17</f>
        <v>245274218</v>
      </c>
      <c r="AA17" s="6">
        <v>23080760</v>
      </c>
      <c r="AB17" s="6">
        <f>Z17+AA17</f>
        <v>268354978</v>
      </c>
      <c r="AC17" s="6">
        <f>C17-AB17</f>
        <v>-99298</v>
      </c>
      <c r="AD17" s="69">
        <f>AB17/C17</f>
        <v>1.0003701617799854</v>
      </c>
      <c r="AF17" s="103"/>
    </row>
    <row r="18" spans="1:32">
      <c r="A18" s="23" t="s">
        <v>43</v>
      </c>
      <c r="B18" s="6">
        <v>2400000</v>
      </c>
      <c r="C18" s="6">
        <v>28800000</v>
      </c>
      <c r="D18" s="6">
        <v>2273333</v>
      </c>
      <c r="E18" s="6">
        <f t="shared" ref="E18:E26" si="28">D18</f>
        <v>2273333</v>
      </c>
      <c r="F18" s="6">
        <v>2326667</v>
      </c>
      <c r="G18" s="6">
        <f t="shared" ref="G18:G26" si="29">E18+F18</f>
        <v>4600000</v>
      </c>
      <c r="H18" s="6">
        <v>2400000</v>
      </c>
      <c r="I18" s="6">
        <f t="shared" ref="I18:I26" si="30">G18+H18</f>
        <v>7000000</v>
      </c>
      <c r="J18" s="6">
        <v>2413334</v>
      </c>
      <c r="K18" s="6">
        <f t="shared" ref="K18:K26" si="31">I18+J18</f>
        <v>9413334</v>
      </c>
      <c r="L18" s="23" t="s">
        <v>43</v>
      </c>
      <c r="M18" s="6">
        <v>2273334</v>
      </c>
      <c r="N18" s="6">
        <f t="shared" ref="N18:N26" si="32">K18+M18</f>
        <v>11686668</v>
      </c>
      <c r="O18" s="6">
        <v>2400000</v>
      </c>
      <c r="P18" s="6">
        <f t="shared" ref="P18:P26" si="33">N18+O18</f>
        <v>14086668</v>
      </c>
      <c r="Q18" s="6">
        <v>2400000</v>
      </c>
      <c r="R18" s="6">
        <f t="shared" ref="R18:R26" si="34">P18+Q18</f>
        <v>16486668</v>
      </c>
      <c r="S18" s="6">
        <v>2480000</v>
      </c>
      <c r="T18" s="6">
        <f t="shared" ref="T18:T26" si="35">R18+S18</f>
        <v>18966668</v>
      </c>
      <c r="U18" s="6">
        <v>2586667</v>
      </c>
      <c r="V18" s="6">
        <f t="shared" ref="V18:V26" si="36">T18+U18</f>
        <v>21553335</v>
      </c>
      <c r="W18" s="6">
        <v>2406666</v>
      </c>
      <c r="X18" s="6">
        <f t="shared" ref="X18:X26" si="37">V18+W18</f>
        <v>23960001</v>
      </c>
      <c r="Y18" s="6">
        <v>2626666</v>
      </c>
      <c r="Z18" s="6">
        <f t="shared" ref="Z18:Z26" si="38">X18+Y18</f>
        <v>26586667</v>
      </c>
      <c r="AA18" s="6">
        <v>2533333</v>
      </c>
      <c r="AB18" s="6">
        <f t="shared" ref="AB18:AB26" si="39">Z18+AA18</f>
        <v>29120000</v>
      </c>
      <c r="AC18" s="6">
        <f t="shared" ref="AC18:AC26" si="40">C18-AB18</f>
        <v>-320000</v>
      </c>
      <c r="AD18" s="69">
        <f t="shared" ref="AD18:AD26" si="41">AB18/C18</f>
        <v>1.0111111111111111</v>
      </c>
      <c r="AF18" s="103"/>
    </row>
    <row r="19" spans="1:32">
      <c r="A19" s="23" t="s">
        <v>44</v>
      </c>
      <c r="B19" s="6">
        <v>2062886.6666666667</v>
      </c>
      <c r="C19" s="6">
        <v>24754640</v>
      </c>
      <c r="D19" s="6">
        <v>1949740</v>
      </c>
      <c r="E19" s="6">
        <f t="shared" si="28"/>
        <v>1949740</v>
      </c>
      <c r="F19" s="6">
        <v>2268729</v>
      </c>
      <c r="G19" s="6">
        <f t="shared" si="29"/>
        <v>4218469</v>
      </c>
      <c r="H19" s="6">
        <v>2041536</v>
      </c>
      <c r="I19" s="6">
        <f t="shared" si="30"/>
        <v>6260005</v>
      </c>
      <c r="J19" s="6">
        <v>2372235</v>
      </c>
      <c r="K19" s="6">
        <f t="shared" si="31"/>
        <v>8632240</v>
      </c>
      <c r="L19" s="23" t="s">
        <v>44</v>
      </c>
      <c r="M19" s="6">
        <v>2026647</v>
      </c>
      <c r="N19" s="6">
        <f t="shared" si="32"/>
        <v>10658887</v>
      </c>
      <c r="O19" s="6">
        <v>2140741</v>
      </c>
      <c r="P19" s="6">
        <f t="shared" si="33"/>
        <v>12799628</v>
      </c>
      <c r="Q19" s="6">
        <v>2062062</v>
      </c>
      <c r="R19" s="6">
        <f t="shared" si="34"/>
        <v>14861690</v>
      </c>
      <c r="S19" s="6">
        <v>2116157</v>
      </c>
      <c r="T19" s="6">
        <f t="shared" si="35"/>
        <v>16977847</v>
      </c>
      <c r="U19" s="6">
        <v>2229132</v>
      </c>
      <c r="V19" s="6">
        <f t="shared" si="36"/>
        <v>19206979</v>
      </c>
      <c r="W19" s="6">
        <v>2120224</v>
      </c>
      <c r="X19" s="6">
        <f t="shared" si="37"/>
        <v>21327203</v>
      </c>
      <c r="Y19" s="6">
        <v>2385761</v>
      </c>
      <c r="Z19" s="6">
        <f t="shared" si="38"/>
        <v>23712964</v>
      </c>
      <c r="AA19" s="6">
        <v>2405692</v>
      </c>
      <c r="AB19" s="6">
        <f t="shared" si="39"/>
        <v>26118656</v>
      </c>
      <c r="AC19" s="6">
        <f t="shared" si="40"/>
        <v>-1364016</v>
      </c>
      <c r="AD19" s="69">
        <f t="shared" si="41"/>
        <v>1.0551014274495609</v>
      </c>
    </row>
    <row r="20" spans="1:32">
      <c r="A20" s="23" t="s">
        <v>45</v>
      </c>
      <c r="B20" s="6">
        <v>247546.40000000002</v>
      </c>
      <c r="C20" s="6">
        <v>2970556.8000000003</v>
      </c>
      <c r="D20" s="6">
        <v>234064</v>
      </c>
      <c r="E20" s="6">
        <f t="shared" si="28"/>
        <v>234064</v>
      </c>
      <c r="F20" s="6">
        <v>272358</v>
      </c>
      <c r="G20" s="6">
        <f t="shared" si="29"/>
        <v>506422</v>
      </c>
      <c r="H20" s="6">
        <v>245083</v>
      </c>
      <c r="I20" s="6">
        <f t="shared" si="30"/>
        <v>751505</v>
      </c>
      <c r="J20" s="6">
        <v>241323</v>
      </c>
      <c r="K20" s="6">
        <f t="shared" si="31"/>
        <v>992828</v>
      </c>
      <c r="L20" s="23" t="s">
        <v>45</v>
      </c>
      <c r="M20" s="6">
        <f>243286-25240</f>
        <v>218046</v>
      </c>
      <c r="N20" s="6">
        <f t="shared" si="32"/>
        <v>1210874</v>
      </c>
      <c r="O20" s="6">
        <v>245084</v>
      </c>
      <c r="P20" s="6">
        <f t="shared" si="33"/>
        <v>1455958</v>
      </c>
      <c r="Q20" s="6">
        <v>247548</v>
      </c>
      <c r="R20" s="6">
        <f t="shared" si="34"/>
        <v>1703506</v>
      </c>
      <c r="S20" s="6">
        <v>254042</v>
      </c>
      <c r="T20" s="6">
        <f t="shared" si="35"/>
        <v>1957548</v>
      </c>
      <c r="U20" s="6">
        <v>267604</v>
      </c>
      <c r="V20" s="6">
        <f t="shared" si="36"/>
        <v>2225152</v>
      </c>
      <c r="W20" s="6">
        <v>254529</v>
      </c>
      <c r="X20" s="6">
        <f t="shared" si="37"/>
        <v>2479681</v>
      </c>
      <c r="Y20" s="6">
        <v>286406</v>
      </c>
      <c r="Z20" s="6">
        <f t="shared" si="38"/>
        <v>2766087</v>
      </c>
      <c r="AA20" s="6">
        <v>218712</v>
      </c>
      <c r="AB20" s="6">
        <f t="shared" si="39"/>
        <v>2984799</v>
      </c>
      <c r="AC20" s="6">
        <f t="shared" si="40"/>
        <v>-14242.199999999721</v>
      </c>
      <c r="AD20" s="69">
        <f t="shared" si="41"/>
        <v>1.00479445469617</v>
      </c>
    </row>
    <row r="21" spans="1:32">
      <c r="A21" s="23" t="s">
        <v>46</v>
      </c>
      <c r="B21" s="6">
        <v>2062886.6666666667</v>
      </c>
      <c r="C21" s="6">
        <v>24754640</v>
      </c>
      <c r="D21" s="6">
        <v>1949740</v>
      </c>
      <c r="E21" s="6">
        <f t="shared" si="28"/>
        <v>1949740</v>
      </c>
      <c r="F21" s="6">
        <v>2268729</v>
      </c>
      <c r="G21" s="6">
        <f t="shared" si="29"/>
        <v>4218469</v>
      </c>
      <c r="H21" s="6">
        <f>H19</f>
        <v>2041536</v>
      </c>
      <c r="I21" s="6">
        <f t="shared" si="30"/>
        <v>6260005</v>
      </c>
      <c r="J21" s="6">
        <f>8632240-I21</f>
        <v>2372235</v>
      </c>
      <c r="K21" s="6">
        <f t="shared" si="31"/>
        <v>8632240</v>
      </c>
      <c r="L21" s="23" t="s">
        <v>46</v>
      </c>
      <c r="M21" s="6">
        <v>2026647</v>
      </c>
      <c r="N21" s="6">
        <f t="shared" si="32"/>
        <v>10658887</v>
      </c>
      <c r="O21" s="6">
        <v>2140741</v>
      </c>
      <c r="P21" s="6">
        <f t="shared" si="33"/>
        <v>12799628</v>
      </c>
      <c r="Q21" s="6">
        <v>2062062</v>
      </c>
      <c r="R21" s="6">
        <f t="shared" si="34"/>
        <v>14861690</v>
      </c>
      <c r="S21" s="6">
        <v>2116157</v>
      </c>
      <c r="T21" s="6">
        <f t="shared" si="35"/>
        <v>16977847</v>
      </c>
      <c r="U21" s="6">
        <v>2229132</v>
      </c>
      <c r="V21" s="6">
        <f t="shared" si="36"/>
        <v>19206979</v>
      </c>
      <c r="W21" s="6">
        <v>2120224</v>
      </c>
      <c r="X21" s="6">
        <f t="shared" si="37"/>
        <v>21327203</v>
      </c>
      <c r="Y21" s="6">
        <v>2385761</v>
      </c>
      <c r="Z21" s="6">
        <f t="shared" si="38"/>
        <v>23712964</v>
      </c>
      <c r="AA21" s="6">
        <v>2282492</v>
      </c>
      <c r="AB21" s="6">
        <f t="shared" si="39"/>
        <v>25995456</v>
      </c>
      <c r="AC21" s="6">
        <f t="shared" si="40"/>
        <v>-1240816</v>
      </c>
      <c r="AD21" s="69">
        <f t="shared" si="41"/>
        <v>1.0501245827044949</v>
      </c>
    </row>
    <row r="22" spans="1:32">
      <c r="A22" s="23" t="s">
        <v>47</v>
      </c>
      <c r="B22" s="6">
        <v>931443.33333333337</v>
      </c>
      <c r="C22" s="6">
        <v>11177320</v>
      </c>
      <c r="D22" s="6">
        <v>879130</v>
      </c>
      <c r="E22" s="6">
        <f t="shared" si="28"/>
        <v>879130</v>
      </c>
      <c r="F22" s="6">
        <v>1811963</v>
      </c>
      <c r="G22" s="6">
        <f t="shared" si="29"/>
        <v>2691093</v>
      </c>
      <c r="H22" s="6">
        <v>919703</v>
      </c>
      <c r="I22" s="6">
        <f t="shared" si="30"/>
        <v>3610796</v>
      </c>
      <c r="J22" s="6">
        <v>2436751</v>
      </c>
      <c r="K22" s="6">
        <f t="shared" si="31"/>
        <v>6047547</v>
      </c>
      <c r="L22" s="23" t="s">
        <v>47</v>
      </c>
      <c r="M22" s="6">
        <f>1301780-320511</f>
        <v>981269</v>
      </c>
      <c r="N22" s="6">
        <f t="shared" si="32"/>
        <v>7028816</v>
      </c>
      <c r="O22" s="6">
        <v>919704</v>
      </c>
      <c r="P22" s="6">
        <f t="shared" si="33"/>
        <v>7948520</v>
      </c>
      <c r="Q22" s="6">
        <v>929954</v>
      </c>
      <c r="R22" s="6">
        <f t="shared" si="34"/>
        <v>8878474</v>
      </c>
      <c r="S22" s="6">
        <v>953641</v>
      </c>
      <c r="T22" s="6">
        <f t="shared" si="35"/>
        <v>9832115</v>
      </c>
      <c r="U22" s="6">
        <v>1336720</v>
      </c>
      <c r="V22" s="6">
        <f t="shared" si="36"/>
        <v>11168835</v>
      </c>
      <c r="W22" s="6">
        <v>990362</v>
      </c>
      <c r="X22" s="6">
        <f t="shared" si="37"/>
        <v>12159197</v>
      </c>
      <c r="Y22" s="6">
        <v>2404522</v>
      </c>
      <c r="Z22" s="6">
        <f t="shared" si="38"/>
        <v>14563719</v>
      </c>
      <c r="AA22" s="6">
        <v>960319</v>
      </c>
      <c r="AB22" s="6">
        <f t="shared" si="39"/>
        <v>15524038</v>
      </c>
      <c r="AC22" s="6">
        <f t="shared" si="40"/>
        <v>-4346718</v>
      </c>
      <c r="AD22" s="69">
        <f t="shared" si="41"/>
        <v>1.3888873182480237</v>
      </c>
    </row>
    <row r="23" spans="1:32">
      <c r="A23" s="23" t="s">
        <v>48</v>
      </c>
      <c r="B23" s="6">
        <v>1200000</v>
      </c>
      <c r="C23" s="6">
        <v>14400000</v>
      </c>
      <c r="D23" s="6"/>
      <c r="E23" s="6">
        <f t="shared" si="28"/>
        <v>0</v>
      </c>
      <c r="F23" s="6">
        <v>1984920</v>
      </c>
      <c r="G23" s="6">
        <f t="shared" si="29"/>
        <v>1984920</v>
      </c>
      <c r="H23" s="6">
        <v>719920</v>
      </c>
      <c r="I23" s="6">
        <f t="shared" si="30"/>
        <v>2704840</v>
      </c>
      <c r="J23" s="6"/>
      <c r="K23" s="6">
        <f t="shared" si="31"/>
        <v>2704840</v>
      </c>
      <c r="L23" s="23" t="s">
        <v>48</v>
      </c>
      <c r="M23" s="6"/>
      <c r="N23" s="6">
        <f t="shared" si="32"/>
        <v>2704840</v>
      </c>
      <c r="O23" s="6">
        <v>359960</v>
      </c>
      <c r="P23" s="6">
        <f t="shared" si="33"/>
        <v>3064800</v>
      </c>
      <c r="Q23" s="6">
        <v>5035848</v>
      </c>
      <c r="R23" s="6">
        <f t="shared" si="34"/>
        <v>8100648</v>
      </c>
      <c r="S23" s="6"/>
      <c r="T23" s="6">
        <f t="shared" si="35"/>
        <v>8100648</v>
      </c>
      <c r="U23" s="6"/>
      <c r="V23" s="6">
        <f t="shared" si="36"/>
        <v>8100648</v>
      </c>
      <c r="W23" s="6"/>
      <c r="X23" s="6">
        <f t="shared" si="37"/>
        <v>8100648</v>
      </c>
      <c r="Y23" s="6">
        <v>59417</v>
      </c>
      <c r="Z23" s="6">
        <f t="shared" si="38"/>
        <v>8160065</v>
      </c>
      <c r="AA23" s="6">
        <v>5334286</v>
      </c>
      <c r="AB23" s="6">
        <f t="shared" si="39"/>
        <v>13494351</v>
      </c>
      <c r="AC23" s="6">
        <f t="shared" si="40"/>
        <v>905649</v>
      </c>
      <c r="AD23" s="69">
        <f t="shared" si="41"/>
        <v>0.93710770833333334</v>
      </c>
    </row>
    <row r="24" spans="1:32">
      <c r="A24" s="23" t="s">
        <v>49</v>
      </c>
      <c r="B24" s="6">
        <f>+C24/12</f>
        <v>666666.66666666663</v>
      </c>
      <c r="C24" s="6">
        <v>8000000</v>
      </c>
      <c r="D24" s="6"/>
      <c r="E24" s="6">
        <f t="shared" si="28"/>
        <v>0</v>
      </c>
      <c r="F24" s="6"/>
      <c r="G24" s="6">
        <f t="shared" si="29"/>
        <v>0</v>
      </c>
      <c r="H24" s="6">
        <v>142800</v>
      </c>
      <c r="I24" s="6">
        <f t="shared" si="30"/>
        <v>142800</v>
      </c>
      <c r="J24" s="6"/>
      <c r="K24" s="6">
        <f t="shared" si="31"/>
        <v>142800</v>
      </c>
      <c r="L24" s="23" t="s">
        <v>49</v>
      </c>
      <c r="M24" s="6">
        <v>2320500</v>
      </c>
      <c r="N24" s="6">
        <f t="shared" si="32"/>
        <v>2463300</v>
      </c>
      <c r="O24" s="6"/>
      <c r="P24" s="6">
        <f t="shared" si="33"/>
        <v>2463300</v>
      </c>
      <c r="Q24" s="6"/>
      <c r="R24" s="6">
        <f t="shared" si="34"/>
        <v>2463300</v>
      </c>
      <c r="S24" s="6"/>
      <c r="T24" s="6">
        <f t="shared" si="35"/>
        <v>2463300</v>
      </c>
      <c r="U24" s="6"/>
      <c r="V24" s="6">
        <f t="shared" si="36"/>
        <v>2463300</v>
      </c>
      <c r="W24" s="6">
        <v>225000</v>
      </c>
      <c r="X24" s="6">
        <f t="shared" si="37"/>
        <v>2688300</v>
      </c>
      <c r="Y24" s="6"/>
      <c r="Z24" s="6">
        <f t="shared" si="38"/>
        <v>2688300</v>
      </c>
      <c r="AA24" s="6"/>
      <c r="AB24" s="6">
        <f t="shared" si="39"/>
        <v>2688300</v>
      </c>
      <c r="AC24" s="6">
        <f t="shared" si="40"/>
        <v>5311700</v>
      </c>
      <c r="AD24" s="69">
        <f t="shared" si="41"/>
        <v>0.33603749999999999</v>
      </c>
    </row>
    <row r="25" spans="1:32">
      <c r="A25" s="23" t="s">
        <v>50</v>
      </c>
      <c r="B25" s="6">
        <v>4699392.4208000004</v>
      </c>
      <c r="C25" s="6">
        <v>56392709.049600005</v>
      </c>
      <c r="D25" s="6">
        <v>4442567</v>
      </c>
      <c r="E25" s="6">
        <f t="shared" si="28"/>
        <v>4442567</v>
      </c>
      <c r="F25" s="6">
        <v>5048259</v>
      </c>
      <c r="G25" s="6">
        <f t="shared" si="29"/>
        <v>9490826</v>
      </c>
      <c r="H25" s="6">
        <v>5085641</v>
      </c>
      <c r="I25" s="6">
        <f t="shared" si="30"/>
        <v>14576467</v>
      </c>
      <c r="J25" s="6">
        <v>5264327</v>
      </c>
      <c r="K25" s="6">
        <f t="shared" si="31"/>
        <v>19840794</v>
      </c>
      <c r="L25" s="23" t="s">
        <v>50</v>
      </c>
      <c r="M25" s="6">
        <f>222708+2018427+2849384</f>
        <v>5090519</v>
      </c>
      <c r="N25" s="6">
        <f t="shared" si="32"/>
        <v>24931313</v>
      </c>
      <c r="O25" s="6">
        <f>230812+1879202+2652994</f>
        <v>4763008</v>
      </c>
      <c r="P25" s="6">
        <f t="shared" si="33"/>
        <v>29694321</v>
      </c>
      <c r="Q25" s="6">
        <f>233384+1900146+2682562</f>
        <v>4816092</v>
      </c>
      <c r="R25" s="6">
        <f t="shared" si="34"/>
        <v>34510413</v>
      </c>
      <c r="S25" s="6">
        <f>239329+1948545+2750890</f>
        <v>4938764</v>
      </c>
      <c r="T25" s="6">
        <f t="shared" si="35"/>
        <v>39449177</v>
      </c>
      <c r="U25" s="6">
        <f>246870+2021144+2853382</f>
        <v>5121396</v>
      </c>
      <c r="V25" s="6">
        <f t="shared" si="36"/>
        <v>44570573</v>
      </c>
      <c r="W25" s="6">
        <f>228934+1997604+2820150</f>
        <v>5046688</v>
      </c>
      <c r="X25" s="6">
        <f t="shared" si="37"/>
        <v>49617261</v>
      </c>
      <c r="Y25" s="6">
        <v>5230906</v>
      </c>
      <c r="Z25" s="6">
        <f t="shared" si="38"/>
        <v>54848167</v>
      </c>
      <c r="AA25" s="6">
        <v>5495666</v>
      </c>
      <c r="AB25" s="6">
        <f t="shared" si="39"/>
        <v>60343833</v>
      </c>
      <c r="AC25" s="6">
        <f t="shared" si="40"/>
        <v>-3951123.9503999949</v>
      </c>
      <c r="AD25" s="69">
        <f t="shared" si="41"/>
        <v>1.0700644465745528</v>
      </c>
    </row>
    <row r="26" spans="1:32">
      <c r="A26" s="23" t="s">
        <v>51</v>
      </c>
      <c r="B26" s="6">
        <v>2011917.5999999999</v>
      </c>
      <c r="C26" s="6">
        <v>24143011.199999999</v>
      </c>
      <c r="D26" s="6">
        <v>1901960</v>
      </c>
      <c r="E26" s="6">
        <f t="shared" si="28"/>
        <v>1901960</v>
      </c>
      <c r="F26" s="6">
        <v>2115776</v>
      </c>
      <c r="G26" s="6">
        <f t="shared" si="29"/>
        <v>4017736</v>
      </c>
      <c r="H26" s="6">
        <v>2128374</v>
      </c>
      <c r="I26" s="6">
        <f t="shared" si="30"/>
        <v>6146110</v>
      </c>
      <c r="J26" s="6">
        <v>2569326</v>
      </c>
      <c r="K26" s="6">
        <f t="shared" si="31"/>
        <v>8715436</v>
      </c>
      <c r="L26" s="23" t="s">
        <v>51</v>
      </c>
      <c r="M26" s="6">
        <f>1026200+770600+514900</f>
        <v>2311700</v>
      </c>
      <c r="N26" s="6">
        <f t="shared" si="32"/>
        <v>11027136</v>
      </c>
      <c r="O26" s="6">
        <f>884328+663242+442170</f>
        <v>1989740</v>
      </c>
      <c r="P26" s="6">
        <f t="shared" si="33"/>
        <v>13016876</v>
      </c>
      <c r="Q26" s="6">
        <f>894184+670634+447098</f>
        <v>2011916</v>
      </c>
      <c r="R26" s="6">
        <f t="shared" si="34"/>
        <v>15028792</v>
      </c>
      <c r="S26" s="6">
        <f>916960+687716+458486</f>
        <v>2063162</v>
      </c>
      <c r="T26" s="6">
        <f t="shared" si="35"/>
        <v>17091954</v>
      </c>
      <c r="U26" s="6">
        <f>972216+729160+486114</f>
        <v>2187490</v>
      </c>
      <c r="V26" s="6">
        <f t="shared" si="36"/>
        <v>19279444</v>
      </c>
      <c r="W26" s="6">
        <f>892955+669714+446483</f>
        <v>2009152</v>
      </c>
      <c r="X26" s="6">
        <f t="shared" si="37"/>
        <v>21288596</v>
      </c>
      <c r="Y26" s="6">
        <v>2186609</v>
      </c>
      <c r="Z26" s="6">
        <f t="shared" si="38"/>
        <v>23475205</v>
      </c>
      <c r="AA26" s="6">
        <v>2240804</v>
      </c>
      <c r="AB26" s="6">
        <f t="shared" si="39"/>
        <v>25716009</v>
      </c>
      <c r="AC26" s="6">
        <f t="shared" si="40"/>
        <v>-1572997.8000000007</v>
      </c>
      <c r="AD26" s="69">
        <f t="shared" si="41"/>
        <v>1.065153339281887</v>
      </c>
    </row>
    <row r="27" spans="1:32" ht="15.75" thickBot="1">
      <c r="A27" s="28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28"/>
      <c r="M27" s="10"/>
      <c r="N27" s="10"/>
      <c r="O27" s="10"/>
      <c r="P27" s="10"/>
      <c r="Q27" s="10"/>
      <c r="R27" s="10"/>
      <c r="S27" s="10"/>
      <c r="T27" s="6"/>
      <c r="U27" s="10"/>
      <c r="V27" s="10"/>
      <c r="W27" s="10"/>
      <c r="X27" s="10"/>
      <c r="Y27" s="10"/>
      <c r="Z27" s="10"/>
      <c r="AA27" s="10"/>
      <c r="AB27" s="10"/>
      <c r="AC27" s="10"/>
      <c r="AD27" s="10"/>
    </row>
    <row r="28" spans="1:32" ht="25.5" thickBot="1">
      <c r="A28" s="58" t="s">
        <v>52</v>
      </c>
      <c r="B28" s="26">
        <f>C28/12</f>
        <v>2011033.3333333333</v>
      </c>
      <c r="C28" s="27">
        <f>40932400-16800000</f>
        <v>24132400</v>
      </c>
      <c r="D28" s="26">
        <v>0</v>
      </c>
      <c r="E28" s="27">
        <v>0</v>
      </c>
      <c r="F28" s="26">
        <v>1859400</v>
      </c>
      <c r="G28" s="27">
        <f>E28+F28</f>
        <v>1859400</v>
      </c>
      <c r="H28" s="27">
        <f>1924400-1859400</f>
        <v>65000</v>
      </c>
      <c r="I28" s="27">
        <f>G28+H28</f>
        <v>1924400</v>
      </c>
      <c r="J28" s="27">
        <v>-154000</v>
      </c>
      <c r="K28" s="27">
        <f t="shared" ref="K28:K32" si="42">I28+J28</f>
        <v>1770400</v>
      </c>
      <c r="L28" s="58" t="s">
        <v>52</v>
      </c>
      <c r="M28" s="27">
        <v>3821889</v>
      </c>
      <c r="N28" s="27">
        <f>K28+M28</f>
        <v>5592289</v>
      </c>
      <c r="O28" s="27"/>
      <c r="P28" s="27">
        <f>N28+O28</f>
        <v>5592289</v>
      </c>
      <c r="Q28" s="27"/>
      <c r="R28" s="27">
        <f>P28+Q28</f>
        <v>5592289</v>
      </c>
      <c r="S28" s="27"/>
      <c r="T28" s="27">
        <f>R28+S28</f>
        <v>5592289</v>
      </c>
      <c r="U28" s="27"/>
      <c r="V28" s="27">
        <f>T28+U28</f>
        <v>5592289</v>
      </c>
      <c r="W28" s="27">
        <v>6416792</v>
      </c>
      <c r="X28" s="27">
        <f>V28+W28</f>
        <v>12009081</v>
      </c>
      <c r="Y28" s="27"/>
      <c r="Z28" s="27">
        <f>X28+Y28</f>
        <v>12009081</v>
      </c>
      <c r="AA28" s="27">
        <f>SUM(AA29:AA31)</f>
        <v>8541050</v>
      </c>
      <c r="AB28" s="27">
        <f>SUM(AB29:AB31)</f>
        <v>20550131</v>
      </c>
      <c r="AC28" s="27">
        <f>C28-X28</f>
        <v>12123319</v>
      </c>
      <c r="AD28" s="72">
        <f>Z28/C28</f>
        <v>0.49763309907012976</v>
      </c>
    </row>
    <row r="29" spans="1:32">
      <c r="A29" s="23" t="s">
        <v>53</v>
      </c>
      <c r="B29" s="6">
        <f>C29/6</f>
        <v>2439333.3333333335</v>
      </c>
      <c r="C29" s="6">
        <f>C28-C30-C31</f>
        <v>14636000</v>
      </c>
      <c r="D29" s="6"/>
      <c r="E29" s="6"/>
      <c r="F29" s="6"/>
      <c r="G29" s="6">
        <f>E29+F29</f>
        <v>0</v>
      </c>
      <c r="H29" s="6"/>
      <c r="I29" s="6">
        <f t="shared" ref="I29:K30" si="43">G29+H29</f>
        <v>0</v>
      </c>
      <c r="J29" s="6"/>
      <c r="K29" s="6">
        <f t="shared" si="43"/>
        <v>0</v>
      </c>
      <c r="L29" s="23" t="s">
        <v>53</v>
      </c>
      <c r="M29" s="6">
        <v>3821889</v>
      </c>
      <c r="N29" s="6">
        <f>M29+K29</f>
        <v>3821889</v>
      </c>
      <c r="O29" s="6"/>
      <c r="P29" s="6">
        <f>N29+O29</f>
        <v>3821889</v>
      </c>
      <c r="Q29" s="6"/>
      <c r="R29" s="6">
        <f>P29+Q29</f>
        <v>3821889</v>
      </c>
      <c r="S29" s="6"/>
      <c r="T29" s="6">
        <f>R29+S29</f>
        <v>3821889</v>
      </c>
      <c r="U29" s="6"/>
      <c r="V29" s="6">
        <f>T29+U29</f>
        <v>3821889</v>
      </c>
      <c r="W29" s="6">
        <v>6416792</v>
      </c>
      <c r="X29" s="6">
        <f>V29+W29</f>
        <v>10238681</v>
      </c>
      <c r="Y29" s="6"/>
      <c r="Z29" s="6">
        <f>X29+Y29</f>
        <v>10238681</v>
      </c>
      <c r="AA29" s="6">
        <v>7015050</v>
      </c>
      <c r="AB29" s="6">
        <f>Z29+AA29</f>
        <v>17253731</v>
      </c>
      <c r="AC29" s="6">
        <f>C29-AB29</f>
        <v>-2617731</v>
      </c>
      <c r="AD29" s="69">
        <f>AB29/C29</f>
        <v>1.1788556299535393</v>
      </c>
    </row>
    <row r="30" spans="1:32">
      <c r="A30" s="23" t="s">
        <v>54</v>
      </c>
      <c r="B30" s="6">
        <f t="shared" ref="B30:B31" si="44">C30/6</f>
        <v>182000</v>
      </c>
      <c r="C30" s="6">
        <v>1092000</v>
      </c>
      <c r="D30" s="6"/>
      <c r="E30" s="6"/>
      <c r="F30" s="6"/>
      <c r="G30" s="6">
        <f t="shared" ref="G30:G31" si="45">E30+F30</f>
        <v>0</v>
      </c>
      <c r="H30" s="6"/>
      <c r="I30" s="6">
        <f t="shared" si="43"/>
        <v>0</v>
      </c>
      <c r="J30" s="6"/>
      <c r="K30" s="6">
        <f t="shared" si="43"/>
        <v>0</v>
      </c>
      <c r="L30" s="23" t="s">
        <v>54</v>
      </c>
      <c r="M30" s="6"/>
      <c r="N30" s="6">
        <f t="shared" ref="N30" si="46">M30+K30</f>
        <v>0</v>
      </c>
      <c r="O30" s="6"/>
      <c r="P30" s="6">
        <f t="shared" ref="P30:Z32" si="47">N30+O30</f>
        <v>0</v>
      </c>
      <c r="Q30" s="6"/>
      <c r="R30" s="6">
        <f t="shared" si="47"/>
        <v>0</v>
      </c>
      <c r="S30" s="6"/>
      <c r="T30" s="6">
        <f t="shared" si="47"/>
        <v>0</v>
      </c>
      <c r="U30" s="6"/>
      <c r="V30" s="6">
        <f t="shared" si="47"/>
        <v>0</v>
      </c>
      <c r="W30" s="6"/>
      <c r="X30" s="6">
        <f t="shared" si="47"/>
        <v>0</v>
      </c>
      <c r="Y30" s="6"/>
      <c r="Z30" s="6">
        <f t="shared" si="47"/>
        <v>0</v>
      </c>
      <c r="AA30" s="6">
        <v>1526000</v>
      </c>
      <c r="AB30" s="6">
        <f t="shared" ref="AB30:AB32" si="48">Z30+AA30</f>
        <v>1526000</v>
      </c>
      <c r="AC30" s="6">
        <f>C30-AB30</f>
        <v>-434000</v>
      </c>
      <c r="AD30" s="69">
        <f t="shared" ref="AD30:AD31" si="49">AB30/C30</f>
        <v>1.3974358974358974</v>
      </c>
    </row>
    <row r="31" spans="1:32" ht="15.75" thickBot="1">
      <c r="A31" s="23" t="s">
        <v>55</v>
      </c>
      <c r="B31" s="6">
        <f t="shared" si="44"/>
        <v>1400733.3333333333</v>
      </c>
      <c r="C31" s="6">
        <v>8404400</v>
      </c>
      <c r="D31" s="6"/>
      <c r="E31" s="6"/>
      <c r="F31" s="6">
        <v>1859400</v>
      </c>
      <c r="G31" s="6">
        <f t="shared" si="45"/>
        <v>1859400</v>
      </c>
      <c r="H31" s="6">
        <v>65000</v>
      </c>
      <c r="I31" s="6">
        <f>G31+H31</f>
        <v>1924400</v>
      </c>
      <c r="J31" s="6">
        <v>-154000</v>
      </c>
      <c r="K31" s="6">
        <f>I31+J31</f>
        <v>1770400</v>
      </c>
      <c r="L31" s="23" t="s">
        <v>55</v>
      </c>
      <c r="M31" s="6"/>
      <c r="N31" s="6">
        <f>M31+K31</f>
        <v>1770400</v>
      </c>
      <c r="O31" s="6"/>
      <c r="P31" s="6">
        <f t="shared" si="47"/>
        <v>1770400</v>
      </c>
      <c r="Q31" s="6"/>
      <c r="R31" s="6">
        <f t="shared" si="47"/>
        <v>1770400</v>
      </c>
      <c r="S31" s="6"/>
      <c r="T31" s="6">
        <f t="shared" si="47"/>
        <v>1770400</v>
      </c>
      <c r="U31" s="6"/>
      <c r="V31" s="6">
        <f t="shared" si="47"/>
        <v>1770400</v>
      </c>
      <c r="W31" s="6"/>
      <c r="X31" s="6">
        <f t="shared" si="47"/>
        <v>1770400</v>
      </c>
      <c r="Y31" s="6"/>
      <c r="Z31" s="6">
        <f t="shared" si="47"/>
        <v>1770400</v>
      </c>
      <c r="AA31" s="6"/>
      <c r="AB31" s="6">
        <f t="shared" si="48"/>
        <v>1770400</v>
      </c>
      <c r="AC31" s="6">
        <f>C31-AB31</f>
        <v>6634000</v>
      </c>
      <c r="AD31" s="69">
        <f t="shared" si="49"/>
        <v>0.21065156346675551</v>
      </c>
    </row>
    <row r="32" spans="1:32" ht="15.75" thickBot="1">
      <c r="A32" s="59"/>
      <c r="B32" s="60"/>
      <c r="C32" s="61"/>
      <c r="D32" s="60"/>
      <c r="E32" s="61"/>
      <c r="F32" s="60"/>
      <c r="G32" s="61"/>
      <c r="H32" s="61"/>
      <c r="I32" s="61"/>
      <c r="J32" s="61"/>
      <c r="K32" s="6">
        <f t="shared" si="42"/>
        <v>0</v>
      </c>
      <c r="L32" s="59"/>
      <c r="M32" s="6"/>
      <c r="N32" s="6">
        <f>M32+K32</f>
        <v>0</v>
      </c>
      <c r="O32" s="6"/>
      <c r="P32" s="6">
        <f t="shared" si="47"/>
        <v>0</v>
      </c>
      <c r="Q32" s="6"/>
      <c r="R32" s="6">
        <f t="shared" si="47"/>
        <v>0</v>
      </c>
      <c r="S32" s="6"/>
      <c r="T32" s="6">
        <f t="shared" si="47"/>
        <v>0</v>
      </c>
      <c r="U32" s="6"/>
      <c r="V32" s="6">
        <f t="shared" si="47"/>
        <v>0</v>
      </c>
      <c r="W32" s="6"/>
      <c r="X32" s="6">
        <f t="shared" si="47"/>
        <v>0</v>
      </c>
      <c r="Y32" s="6"/>
      <c r="Z32" s="6">
        <f t="shared" si="47"/>
        <v>0</v>
      </c>
      <c r="AA32" s="6"/>
      <c r="AB32" s="6">
        <f t="shared" si="48"/>
        <v>0</v>
      </c>
      <c r="AC32" s="6">
        <f t="shared" ref="AC32" si="50">C32-Z32</f>
        <v>0</v>
      </c>
      <c r="AD32" s="69"/>
    </row>
    <row r="33" spans="1:30" ht="15.75" thickBot="1">
      <c r="A33" s="25" t="s">
        <v>56</v>
      </c>
      <c r="B33" s="26">
        <f>SUM(B34:B41)</f>
        <v>31956833.333333332</v>
      </c>
      <c r="C33" s="62">
        <f>SUM(C34:C41)</f>
        <v>383482000</v>
      </c>
      <c r="D33" s="62">
        <f t="shared" ref="D33:AB33" si="51">SUM(D34:D41)</f>
        <v>23123500</v>
      </c>
      <c r="E33" s="62">
        <f t="shared" si="51"/>
        <v>23123500</v>
      </c>
      <c r="F33" s="62">
        <f t="shared" si="51"/>
        <v>23123500</v>
      </c>
      <c r="G33" s="62">
        <f t="shared" si="51"/>
        <v>46247000</v>
      </c>
      <c r="H33" s="62">
        <f t="shared" si="51"/>
        <v>23123500</v>
      </c>
      <c r="I33" s="62">
        <f t="shared" si="51"/>
        <v>69370500</v>
      </c>
      <c r="J33" s="62">
        <f t="shared" si="51"/>
        <v>23123500</v>
      </c>
      <c r="K33" s="62">
        <f t="shared" si="51"/>
        <v>92494000</v>
      </c>
      <c r="L33" s="62">
        <f t="shared" si="51"/>
        <v>0</v>
      </c>
      <c r="M33" s="62">
        <f t="shared" si="51"/>
        <v>23123500</v>
      </c>
      <c r="N33" s="62">
        <f t="shared" si="51"/>
        <v>115617500</v>
      </c>
      <c r="O33" s="62">
        <f t="shared" si="51"/>
        <v>46123500</v>
      </c>
      <c r="P33" s="62">
        <f t="shared" si="51"/>
        <v>161741000</v>
      </c>
      <c r="Q33" s="62">
        <f t="shared" si="51"/>
        <v>26123500</v>
      </c>
      <c r="R33" s="62">
        <f t="shared" si="51"/>
        <v>187864500</v>
      </c>
      <c r="S33" s="62">
        <f t="shared" si="51"/>
        <v>26123500</v>
      </c>
      <c r="T33" s="62">
        <f t="shared" si="51"/>
        <v>213988000</v>
      </c>
      <c r="U33" s="62">
        <f t="shared" si="51"/>
        <v>26123500</v>
      </c>
      <c r="V33" s="62">
        <f t="shared" si="51"/>
        <v>240111500</v>
      </c>
      <c r="W33" s="62">
        <f t="shared" si="51"/>
        <v>26123500</v>
      </c>
      <c r="X33" s="62">
        <f t="shared" si="51"/>
        <v>266235000</v>
      </c>
      <c r="Y33" s="62">
        <f t="shared" si="51"/>
        <v>42511430</v>
      </c>
      <c r="Z33" s="62">
        <f t="shared" si="51"/>
        <v>308746430</v>
      </c>
      <c r="AA33" s="62">
        <f t="shared" si="51"/>
        <v>26123500</v>
      </c>
      <c r="AB33" s="62">
        <f t="shared" si="51"/>
        <v>334869930</v>
      </c>
      <c r="AC33" s="62">
        <f>SUM(AC34:AC41)</f>
        <v>48612070</v>
      </c>
      <c r="AD33" s="72">
        <f>AB33/C33</f>
        <v>0.87323506709571763</v>
      </c>
    </row>
    <row r="34" spans="1:30">
      <c r="A34" s="22" t="s">
        <v>57</v>
      </c>
      <c r="B34" s="3">
        <v>3700000</v>
      </c>
      <c r="C34" s="4">
        <f>B34*12</f>
        <v>44400000</v>
      </c>
      <c r="D34" s="6">
        <v>3700000</v>
      </c>
      <c r="E34" s="4">
        <f>D34</f>
        <v>3700000</v>
      </c>
      <c r="F34" s="3">
        <v>3700000</v>
      </c>
      <c r="G34" s="4">
        <f>E34+F34</f>
        <v>7400000</v>
      </c>
      <c r="H34" s="4">
        <v>3700000</v>
      </c>
      <c r="I34" s="4">
        <f>G34+H34</f>
        <v>11100000</v>
      </c>
      <c r="J34" s="4">
        <v>3700000</v>
      </c>
      <c r="K34" s="4">
        <f>I34+J34</f>
        <v>14800000</v>
      </c>
      <c r="L34" s="22" t="s">
        <v>57</v>
      </c>
      <c r="M34" s="4">
        <v>3700000</v>
      </c>
      <c r="N34" s="4">
        <f>K34+M34</f>
        <v>18500000</v>
      </c>
      <c r="O34" s="4">
        <v>3700000</v>
      </c>
      <c r="P34" s="4">
        <f>N34+O34</f>
        <v>22200000</v>
      </c>
      <c r="Q34" s="4">
        <v>3700000</v>
      </c>
      <c r="R34" s="4">
        <f>P34+Q34</f>
        <v>25900000</v>
      </c>
      <c r="S34" s="4">
        <v>3700000</v>
      </c>
      <c r="T34" s="4">
        <f>R34+S34</f>
        <v>29600000</v>
      </c>
      <c r="U34" s="4">
        <v>3700000</v>
      </c>
      <c r="V34" s="4">
        <f>T34+U34</f>
        <v>33300000</v>
      </c>
      <c r="W34" s="4">
        <v>3700000</v>
      </c>
      <c r="X34" s="4">
        <f>V34+W34</f>
        <v>37000000</v>
      </c>
      <c r="Y34" s="4">
        <v>3700000</v>
      </c>
      <c r="Z34" s="4">
        <f>X34+Y34</f>
        <v>40700000</v>
      </c>
      <c r="AA34" s="4">
        <v>3700000</v>
      </c>
      <c r="AB34" s="4">
        <f>Z34+AA34</f>
        <v>44400000</v>
      </c>
      <c r="AC34" s="3">
        <f>C34-AB34</f>
        <v>0</v>
      </c>
      <c r="AD34" s="69">
        <f>AB34/C34</f>
        <v>1</v>
      </c>
    </row>
    <row r="35" spans="1:30">
      <c r="A35" s="23" t="s">
        <v>58</v>
      </c>
      <c r="B35" s="5">
        <v>12400000</v>
      </c>
      <c r="C35" s="6">
        <f>B35*12</f>
        <v>148800000</v>
      </c>
      <c r="D35" s="6">
        <v>12400000</v>
      </c>
      <c r="E35" s="4">
        <f t="shared" ref="E35:E41" si="52">D35</f>
        <v>12400000</v>
      </c>
      <c r="F35" s="5">
        <v>12400000</v>
      </c>
      <c r="G35" s="4">
        <f t="shared" ref="G35:G41" si="53">E35+F35</f>
        <v>24800000</v>
      </c>
      <c r="H35" s="4">
        <v>12400000</v>
      </c>
      <c r="I35" s="4">
        <f t="shared" ref="I35:I41" si="54">G35+H35</f>
        <v>37200000</v>
      </c>
      <c r="J35" s="4">
        <v>12400000</v>
      </c>
      <c r="K35" s="4">
        <f>I35+J35</f>
        <v>49600000</v>
      </c>
      <c r="L35" s="23" t="s">
        <v>58</v>
      </c>
      <c r="M35" s="4">
        <v>12400000</v>
      </c>
      <c r="N35" s="4">
        <f t="shared" ref="N35:N41" si="55">K35+M35</f>
        <v>62000000</v>
      </c>
      <c r="O35" s="4">
        <v>12400000</v>
      </c>
      <c r="P35" s="4">
        <f t="shared" ref="P35:P41" si="56">N35+O35</f>
        <v>74400000</v>
      </c>
      <c r="Q35" s="4">
        <v>12400000</v>
      </c>
      <c r="R35" s="4">
        <f t="shared" ref="R35:R40" si="57">P35+Q35</f>
        <v>86800000</v>
      </c>
      <c r="S35" s="4">
        <v>12400000</v>
      </c>
      <c r="T35" s="4">
        <f t="shared" ref="T35:T41" si="58">R35+S35</f>
        <v>99200000</v>
      </c>
      <c r="U35" s="4">
        <v>12400000</v>
      </c>
      <c r="V35" s="4">
        <f t="shared" ref="V35:V41" si="59">T35+U35</f>
        <v>111600000</v>
      </c>
      <c r="W35" s="4">
        <v>12400000</v>
      </c>
      <c r="X35" s="4">
        <f t="shared" ref="X35:X41" si="60">V35+W35</f>
        <v>124000000</v>
      </c>
      <c r="Y35" s="4">
        <v>12400000</v>
      </c>
      <c r="Z35" s="4">
        <f t="shared" ref="Z35:Z41" si="61">X35+Y35</f>
        <v>136400000</v>
      </c>
      <c r="AA35" s="4">
        <v>12400000</v>
      </c>
      <c r="AB35" s="4">
        <f t="shared" ref="AB35:AB40" si="62">Z35+AA35</f>
        <v>148800000</v>
      </c>
      <c r="AC35" s="3">
        <f t="shared" ref="AC35:AC41" si="63">C35-AB35</f>
        <v>0</v>
      </c>
      <c r="AD35" s="69">
        <f t="shared" ref="AD35:AD41" si="64">AB35/C35</f>
        <v>1</v>
      </c>
    </row>
    <row r="36" spans="1:30">
      <c r="A36" s="23" t="s">
        <v>59</v>
      </c>
      <c r="B36" s="5">
        <v>5600000</v>
      </c>
      <c r="C36" s="6">
        <f>B36*12</f>
        <v>67200000</v>
      </c>
      <c r="D36" s="6">
        <v>5600000</v>
      </c>
      <c r="E36" s="4">
        <f t="shared" si="52"/>
        <v>5600000</v>
      </c>
      <c r="F36" s="5">
        <v>5600000</v>
      </c>
      <c r="G36" s="4">
        <f t="shared" si="53"/>
        <v>11200000</v>
      </c>
      <c r="H36" s="4">
        <v>5600000</v>
      </c>
      <c r="I36" s="4">
        <f t="shared" si="54"/>
        <v>16800000</v>
      </c>
      <c r="J36" s="4">
        <v>5600000</v>
      </c>
      <c r="K36" s="4">
        <f t="shared" ref="K36:K41" si="65">I36+J36</f>
        <v>22400000</v>
      </c>
      <c r="L36" s="23" t="s">
        <v>59</v>
      </c>
      <c r="M36" s="4">
        <v>5600000</v>
      </c>
      <c r="N36" s="4">
        <f t="shared" si="55"/>
        <v>28000000</v>
      </c>
      <c r="O36" s="4">
        <v>5600000</v>
      </c>
      <c r="P36" s="4">
        <f t="shared" si="56"/>
        <v>33600000</v>
      </c>
      <c r="Q36" s="4">
        <v>5600000</v>
      </c>
      <c r="R36" s="4">
        <f t="shared" si="57"/>
        <v>39200000</v>
      </c>
      <c r="S36" s="4">
        <v>5600000</v>
      </c>
      <c r="T36" s="4">
        <f t="shared" si="58"/>
        <v>44800000</v>
      </c>
      <c r="U36" s="4">
        <v>5600000</v>
      </c>
      <c r="V36" s="4">
        <f t="shared" si="59"/>
        <v>50400000</v>
      </c>
      <c r="W36" s="4">
        <v>5600000</v>
      </c>
      <c r="X36" s="4">
        <f t="shared" si="60"/>
        <v>56000000</v>
      </c>
      <c r="Y36" s="4">
        <v>5600000</v>
      </c>
      <c r="Z36" s="4">
        <f t="shared" si="61"/>
        <v>61600000</v>
      </c>
      <c r="AA36" s="4">
        <v>5600000</v>
      </c>
      <c r="AB36" s="4">
        <f t="shared" si="62"/>
        <v>67200000</v>
      </c>
      <c r="AC36" s="3">
        <f t="shared" si="63"/>
        <v>0</v>
      </c>
      <c r="AD36" s="69">
        <f t="shared" si="64"/>
        <v>1</v>
      </c>
    </row>
    <row r="37" spans="1:30">
      <c r="A37" s="23" t="s">
        <v>60</v>
      </c>
      <c r="B37" s="5"/>
      <c r="C37" s="6">
        <f>B37*12</f>
        <v>0</v>
      </c>
      <c r="D37" s="6"/>
      <c r="E37" s="4">
        <f t="shared" si="52"/>
        <v>0</v>
      </c>
      <c r="F37" s="5"/>
      <c r="G37" s="4">
        <f t="shared" si="53"/>
        <v>0</v>
      </c>
      <c r="H37" s="4"/>
      <c r="I37" s="4">
        <f t="shared" si="54"/>
        <v>0</v>
      </c>
      <c r="J37" s="4"/>
      <c r="K37" s="4">
        <f t="shared" si="65"/>
        <v>0</v>
      </c>
      <c r="L37" s="23" t="s">
        <v>60</v>
      </c>
      <c r="M37" s="4"/>
      <c r="N37" s="4">
        <f t="shared" si="55"/>
        <v>0</v>
      </c>
      <c r="O37" s="4"/>
      <c r="P37" s="4">
        <f t="shared" si="56"/>
        <v>0</v>
      </c>
      <c r="Q37" s="4"/>
      <c r="R37" s="4">
        <f t="shared" si="57"/>
        <v>0</v>
      </c>
      <c r="S37" s="4"/>
      <c r="T37" s="4">
        <f t="shared" si="58"/>
        <v>0</v>
      </c>
      <c r="U37" s="4"/>
      <c r="V37" s="4">
        <f t="shared" si="59"/>
        <v>0</v>
      </c>
      <c r="W37" s="4"/>
      <c r="X37" s="4">
        <f t="shared" si="60"/>
        <v>0</v>
      </c>
      <c r="Y37" s="4"/>
      <c r="Z37" s="4">
        <f t="shared" si="61"/>
        <v>0</v>
      </c>
      <c r="AA37" s="4"/>
      <c r="AB37" s="4">
        <f t="shared" si="62"/>
        <v>0</v>
      </c>
      <c r="AC37" s="3">
        <f t="shared" si="63"/>
        <v>0</v>
      </c>
      <c r="AD37" s="69"/>
    </row>
    <row r="38" spans="1:30">
      <c r="A38" s="23" t="s">
        <v>61</v>
      </c>
      <c r="B38" s="5">
        <f>+C38/12</f>
        <v>2583333.3333333335</v>
      </c>
      <c r="C38" s="6">
        <f>40000000-9000000</f>
        <v>31000000</v>
      </c>
      <c r="D38" s="6"/>
      <c r="E38" s="4">
        <f t="shared" si="52"/>
        <v>0</v>
      </c>
      <c r="F38" s="5"/>
      <c r="G38" s="4">
        <f t="shared" si="53"/>
        <v>0</v>
      </c>
      <c r="H38" s="4"/>
      <c r="I38" s="4">
        <f t="shared" si="54"/>
        <v>0</v>
      </c>
      <c r="J38" s="4"/>
      <c r="K38" s="4">
        <f t="shared" si="65"/>
        <v>0</v>
      </c>
      <c r="L38" s="23" t="s">
        <v>61</v>
      </c>
      <c r="M38" s="4"/>
      <c r="N38" s="4">
        <f t="shared" si="55"/>
        <v>0</v>
      </c>
      <c r="O38" s="4"/>
      <c r="P38" s="4">
        <f t="shared" si="56"/>
        <v>0</v>
      </c>
      <c r="Q38" s="4"/>
      <c r="R38" s="4">
        <f t="shared" si="57"/>
        <v>0</v>
      </c>
      <c r="S38" s="4"/>
      <c r="T38" s="4">
        <f t="shared" si="58"/>
        <v>0</v>
      </c>
      <c r="U38" s="4"/>
      <c r="V38" s="4">
        <f t="shared" si="59"/>
        <v>0</v>
      </c>
      <c r="W38" s="4"/>
      <c r="X38" s="4">
        <f t="shared" si="60"/>
        <v>0</v>
      </c>
      <c r="Y38" s="4"/>
      <c r="Z38" s="4">
        <f t="shared" si="61"/>
        <v>0</v>
      </c>
      <c r="AA38" s="4"/>
      <c r="AB38" s="4">
        <f t="shared" si="62"/>
        <v>0</v>
      </c>
      <c r="AC38" s="3">
        <f t="shared" si="63"/>
        <v>31000000</v>
      </c>
      <c r="AD38" s="69">
        <f t="shared" si="64"/>
        <v>0</v>
      </c>
    </row>
    <row r="39" spans="1:30">
      <c r="A39" s="23" t="s">
        <v>62</v>
      </c>
      <c r="B39" s="5">
        <v>1423500</v>
      </c>
      <c r="C39" s="6">
        <f>B39*12</f>
        <v>17082000</v>
      </c>
      <c r="D39" s="6">
        <v>1423500</v>
      </c>
      <c r="E39" s="4">
        <f t="shared" si="52"/>
        <v>1423500</v>
      </c>
      <c r="F39" s="5">
        <v>1423500</v>
      </c>
      <c r="G39" s="4">
        <f t="shared" si="53"/>
        <v>2847000</v>
      </c>
      <c r="H39" s="4">
        <v>1423500</v>
      </c>
      <c r="I39" s="4">
        <f t="shared" si="54"/>
        <v>4270500</v>
      </c>
      <c r="J39" s="4">
        <v>1423500</v>
      </c>
      <c r="K39" s="4">
        <f t="shared" si="65"/>
        <v>5694000</v>
      </c>
      <c r="L39" s="23" t="s">
        <v>62</v>
      </c>
      <c r="M39" s="4">
        <v>1423500</v>
      </c>
      <c r="N39" s="4">
        <f t="shared" si="55"/>
        <v>7117500</v>
      </c>
      <c r="O39" s="4">
        <v>1423500</v>
      </c>
      <c r="P39" s="4">
        <f t="shared" si="56"/>
        <v>8541000</v>
      </c>
      <c r="Q39" s="4">
        <v>1423500</v>
      </c>
      <c r="R39" s="4">
        <f t="shared" si="57"/>
        <v>9964500</v>
      </c>
      <c r="S39" s="4">
        <v>1423500</v>
      </c>
      <c r="T39" s="4">
        <f t="shared" si="58"/>
        <v>11388000</v>
      </c>
      <c r="U39" s="4">
        <v>1423500</v>
      </c>
      <c r="V39" s="4">
        <f t="shared" si="59"/>
        <v>12811500</v>
      </c>
      <c r="W39" s="4">
        <v>1423500</v>
      </c>
      <c r="X39" s="4">
        <f t="shared" si="60"/>
        <v>14235000</v>
      </c>
      <c r="Y39" s="4">
        <v>1423500</v>
      </c>
      <c r="Z39" s="4">
        <f t="shared" si="61"/>
        <v>15658500</v>
      </c>
      <c r="AA39" s="4">
        <v>1423500</v>
      </c>
      <c r="AB39" s="4">
        <f t="shared" si="62"/>
        <v>17082000</v>
      </c>
      <c r="AC39" s="3">
        <f t="shared" si="63"/>
        <v>0</v>
      </c>
      <c r="AD39" s="69">
        <f t="shared" si="64"/>
        <v>1</v>
      </c>
    </row>
    <row r="40" spans="1:30">
      <c r="A40" s="23" t="s">
        <v>63</v>
      </c>
      <c r="B40" s="5">
        <f>+C40/12</f>
        <v>3000000</v>
      </c>
      <c r="C40" s="6">
        <v>36000000</v>
      </c>
      <c r="D40" s="6"/>
      <c r="E40" s="4">
        <f t="shared" si="52"/>
        <v>0</v>
      </c>
      <c r="F40" s="5"/>
      <c r="G40" s="4">
        <f t="shared" si="53"/>
        <v>0</v>
      </c>
      <c r="H40" s="4"/>
      <c r="I40" s="4">
        <f t="shared" si="54"/>
        <v>0</v>
      </c>
      <c r="J40" s="4"/>
      <c r="K40" s="4">
        <f t="shared" si="65"/>
        <v>0</v>
      </c>
      <c r="L40" s="23" t="s">
        <v>63</v>
      </c>
      <c r="M40" s="4"/>
      <c r="N40" s="4">
        <f t="shared" si="55"/>
        <v>0</v>
      </c>
      <c r="O40" s="4">
        <v>8000000</v>
      </c>
      <c r="P40" s="4">
        <f t="shared" si="56"/>
        <v>8000000</v>
      </c>
      <c r="Q40" s="4">
        <v>3000000</v>
      </c>
      <c r="R40" s="4">
        <f t="shared" si="57"/>
        <v>11000000</v>
      </c>
      <c r="S40" s="4">
        <v>3000000</v>
      </c>
      <c r="T40" s="4">
        <f t="shared" si="58"/>
        <v>14000000</v>
      </c>
      <c r="U40" s="4">
        <v>3000000</v>
      </c>
      <c r="V40" s="4">
        <f t="shared" si="59"/>
        <v>17000000</v>
      </c>
      <c r="W40" s="4">
        <v>3000000</v>
      </c>
      <c r="X40" s="4">
        <f t="shared" si="60"/>
        <v>20000000</v>
      </c>
      <c r="Y40" s="4">
        <v>6387930</v>
      </c>
      <c r="Z40" s="4">
        <f t="shared" si="61"/>
        <v>26387930</v>
      </c>
      <c r="AA40" s="4">
        <v>3000000</v>
      </c>
      <c r="AB40" s="4">
        <f t="shared" si="62"/>
        <v>29387930</v>
      </c>
      <c r="AC40" s="3">
        <f t="shared" si="63"/>
        <v>6612070</v>
      </c>
      <c r="AD40" s="69">
        <f t="shared" si="64"/>
        <v>0.8163313888888889</v>
      </c>
    </row>
    <row r="41" spans="1:30">
      <c r="A41" s="23" t="s">
        <v>64</v>
      </c>
      <c r="B41" s="5">
        <f>+C41/12</f>
        <v>3250000</v>
      </c>
      <c r="C41" s="6">
        <f>15000000+24000000</f>
        <v>39000000</v>
      </c>
      <c r="D41" s="6"/>
      <c r="E41" s="4">
        <f t="shared" si="52"/>
        <v>0</v>
      </c>
      <c r="F41" s="5"/>
      <c r="G41" s="4">
        <f t="shared" si="53"/>
        <v>0</v>
      </c>
      <c r="H41" s="4"/>
      <c r="I41" s="4">
        <f t="shared" si="54"/>
        <v>0</v>
      </c>
      <c r="J41" s="4"/>
      <c r="K41" s="4">
        <f t="shared" si="65"/>
        <v>0</v>
      </c>
      <c r="L41" s="23" t="s">
        <v>64</v>
      </c>
      <c r="M41" s="4"/>
      <c r="N41" s="4">
        <f t="shared" si="55"/>
        <v>0</v>
      </c>
      <c r="O41" s="4">
        <v>15000000</v>
      </c>
      <c r="P41" s="4">
        <f t="shared" si="56"/>
        <v>15000000</v>
      </c>
      <c r="Q41" s="4"/>
      <c r="R41" s="4">
        <f>P41+Q41</f>
        <v>15000000</v>
      </c>
      <c r="S41" s="4"/>
      <c r="T41" s="4">
        <f t="shared" si="58"/>
        <v>15000000</v>
      </c>
      <c r="U41" s="4"/>
      <c r="V41" s="4">
        <f t="shared" si="59"/>
        <v>15000000</v>
      </c>
      <c r="W41" s="4"/>
      <c r="X41" s="4">
        <f t="shared" si="60"/>
        <v>15000000</v>
      </c>
      <c r="Y41" s="4">
        <v>13000000</v>
      </c>
      <c r="Z41" s="4">
        <f t="shared" si="61"/>
        <v>28000000</v>
      </c>
      <c r="AA41" s="4"/>
      <c r="AB41" s="4">
        <f>Z41+AA41</f>
        <v>28000000</v>
      </c>
      <c r="AC41" s="3">
        <f t="shared" si="63"/>
        <v>11000000</v>
      </c>
      <c r="AD41" s="69">
        <f t="shared" si="64"/>
        <v>0.71794871794871795</v>
      </c>
    </row>
    <row r="42" spans="1:30">
      <c r="A42" s="28"/>
      <c r="B42" s="29"/>
      <c r="C42" s="10"/>
      <c r="D42" s="29"/>
      <c r="E42" s="10"/>
      <c r="F42" s="29"/>
      <c r="G42" s="10"/>
      <c r="H42" s="10"/>
      <c r="I42" s="10"/>
      <c r="J42" s="10"/>
      <c r="K42" s="10"/>
      <c r="L42" s="28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29"/>
      <c r="AD42" s="10"/>
    </row>
    <row r="43" spans="1:30">
      <c r="A43" s="28"/>
      <c r="B43" s="29"/>
      <c r="C43" s="10"/>
      <c r="D43" s="29"/>
      <c r="E43" s="10"/>
      <c r="F43" s="29"/>
      <c r="G43" s="10"/>
      <c r="H43" s="10"/>
      <c r="I43" s="10"/>
      <c r="J43" s="10"/>
      <c r="K43" s="10"/>
      <c r="L43" s="28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29"/>
      <c r="AD43" s="10"/>
    </row>
    <row r="44" spans="1:30">
      <c r="A44" s="28"/>
      <c r="B44" s="29"/>
      <c r="C44" s="10"/>
      <c r="D44" s="29"/>
      <c r="E44" s="10"/>
      <c r="F44" s="29"/>
      <c r="G44" s="10"/>
      <c r="H44" s="10"/>
      <c r="I44" s="10"/>
      <c r="J44" s="10"/>
      <c r="K44" s="10"/>
      <c r="L44" s="28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29"/>
      <c r="AD44" s="10"/>
    </row>
    <row r="45" spans="1:30">
      <c r="A45" s="28"/>
      <c r="B45" s="29"/>
      <c r="C45" s="10"/>
      <c r="D45" s="29"/>
      <c r="E45" s="10"/>
      <c r="F45" s="29"/>
      <c r="G45" s="10"/>
      <c r="H45" s="10"/>
      <c r="I45" s="10"/>
      <c r="J45" s="10"/>
      <c r="K45" s="10"/>
      <c r="L45" s="28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29"/>
      <c r="AD45" s="10"/>
    </row>
    <row r="46" spans="1:30">
      <c r="A46" s="28"/>
      <c r="B46" s="29"/>
      <c r="C46" s="10"/>
      <c r="D46" s="29"/>
      <c r="E46" s="10"/>
      <c r="F46" s="29"/>
      <c r="G46" s="10"/>
      <c r="H46" s="10"/>
      <c r="I46" s="10"/>
      <c r="J46" s="10"/>
      <c r="K46" s="10"/>
      <c r="L46" s="28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29"/>
      <c r="AD46" s="10"/>
    </row>
    <row r="47" spans="1:30">
      <c r="A47" s="28"/>
      <c r="B47" s="29"/>
      <c r="C47" s="10"/>
      <c r="D47" s="29"/>
      <c r="E47" s="10"/>
      <c r="F47" s="29"/>
      <c r="G47" s="10"/>
      <c r="H47" s="10"/>
      <c r="I47" s="10"/>
      <c r="J47" s="10"/>
      <c r="K47" s="10"/>
      <c r="L47" s="28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29"/>
      <c r="AD47" s="10"/>
    </row>
    <row r="48" spans="1:30">
      <c r="A48" s="28"/>
      <c r="B48" s="29"/>
      <c r="C48" s="10"/>
      <c r="D48" s="29"/>
      <c r="E48" s="10"/>
      <c r="F48" s="29"/>
      <c r="G48" s="10"/>
      <c r="H48" s="10"/>
      <c r="I48" s="10"/>
      <c r="J48" s="10"/>
      <c r="K48" s="10"/>
      <c r="L48" s="28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29"/>
      <c r="AD48" s="10"/>
    </row>
    <row r="49" spans="1:32" ht="23.25">
      <c r="A49" s="94"/>
      <c r="B49" s="95" t="s">
        <v>3</v>
      </c>
      <c r="C49" s="95" t="s">
        <v>4</v>
      </c>
      <c r="D49" s="95" t="s">
        <v>5</v>
      </c>
      <c r="E49" s="95" t="s">
        <v>6</v>
      </c>
      <c r="F49" s="95" t="s">
        <v>7</v>
      </c>
      <c r="G49" s="95" t="s">
        <v>8</v>
      </c>
      <c r="H49" s="95" t="s">
        <v>9</v>
      </c>
      <c r="I49" s="95" t="s">
        <v>10</v>
      </c>
      <c r="J49" s="95" t="s">
        <v>11</v>
      </c>
      <c r="K49" s="95" t="s">
        <v>65</v>
      </c>
      <c r="L49" s="94"/>
      <c r="M49" s="95" t="s">
        <v>13</v>
      </c>
      <c r="N49" s="95" t="s">
        <v>14</v>
      </c>
      <c r="O49" s="95" t="s">
        <v>15</v>
      </c>
      <c r="P49" s="95" t="s">
        <v>16</v>
      </c>
      <c r="Q49" s="95" t="s">
        <v>17</v>
      </c>
      <c r="R49" s="95" t="s">
        <v>18</v>
      </c>
      <c r="S49" s="95" t="s">
        <v>19</v>
      </c>
      <c r="T49" s="95" t="s">
        <v>20</v>
      </c>
      <c r="U49" s="95" t="s">
        <v>21</v>
      </c>
      <c r="V49" s="95" t="s">
        <v>22</v>
      </c>
      <c r="W49" s="95" t="s">
        <v>23</v>
      </c>
      <c r="X49" s="95" t="s">
        <v>24</v>
      </c>
      <c r="Y49" s="95" t="s">
        <v>25</v>
      </c>
      <c r="Z49" s="95" t="s">
        <v>26</v>
      </c>
      <c r="AA49" s="95" t="s">
        <v>27</v>
      </c>
      <c r="AB49" s="95" t="s">
        <v>28</v>
      </c>
      <c r="AC49" s="95" t="s">
        <v>29</v>
      </c>
      <c r="AD49" s="95" t="s">
        <v>30</v>
      </c>
    </row>
    <row r="50" spans="1:32">
      <c r="A50" s="92" t="s">
        <v>66</v>
      </c>
      <c r="B50" s="21">
        <f>SUM(B51:B52)</f>
        <v>9380945</v>
      </c>
      <c r="C50" s="21">
        <f>SUM(C51:C52)</f>
        <v>112571340</v>
      </c>
      <c r="D50" s="21">
        <f t="shared" ref="D50:E50" si="66">SUM(D51:D52)</f>
        <v>8786837</v>
      </c>
      <c r="E50" s="21">
        <f t="shared" si="66"/>
        <v>8786837</v>
      </c>
      <c r="F50" s="21">
        <f t="shared" ref="F50" si="67">SUM(F51:F52)</f>
        <v>8698421</v>
      </c>
      <c r="G50" s="21">
        <f t="shared" ref="G50:Q50" si="68">SUM(G51:G52)</f>
        <v>17485258</v>
      </c>
      <c r="H50" s="21">
        <f t="shared" si="68"/>
        <v>8762746</v>
      </c>
      <c r="I50" s="21">
        <f t="shared" si="68"/>
        <v>26248004</v>
      </c>
      <c r="J50" s="21">
        <f t="shared" si="68"/>
        <v>8836390</v>
      </c>
      <c r="K50" s="21">
        <f t="shared" si="68"/>
        <v>35084394</v>
      </c>
      <c r="L50" s="92" t="s">
        <v>66</v>
      </c>
      <c r="M50" s="21">
        <f t="shared" si="68"/>
        <v>8822338</v>
      </c>
      <c r="N50" s="21">
        <f t="shared" si="68"/>
        <v>43906732</v>
      </c>
      <c r="O50" s="21">
        <f t="shared" si="68"/>
        <v>8787146</v>
      </c>
      <c r="P50" s="21">
        <f t="shared" si="68"/>
        <v>52693878</v>
      </c>
      <c r="Q50" s="21">
        <f t="shared" si="68"/>
        <v>8766928</v>
      </c>
      <c r="R50" s="21">
        <f>P50+Q50</f>
        <v>61460806</v>
      </c>
      <c r="S50" s="21">
        <f>SUM(S51:S52)</f>
        <v>8772495</v>
      </c>
      <c r="T50" s="21">
        <f>R50+S50</f>
        <v>70233301</v>
      </c>
      <c r="U50" s="21">
        <f>SUM(U51:U52)</f>
        <v>8735677</v>
      </c>
      <c r="V50" s="21">
        <f>T50+U50</f>
        <v>78968978</v>
      </c>
      <c r="W50" s="21">
        <f>SUM(W51:W52)</f>
        <v>8731184</v>
      </c>
      <c r="X50" s="21">
        <f>V50+W50</f>
        <v>87700162</v>
      </c>
      <c r="Y50" s="21">
        <f>Y51+Y52</f>
        <v>8832605</v>
      </c>
      <c r="Z50" s="21">
        <f>X50+Y50</f>
        <v>96532767</v>
      </c>
      <c r="AA50" s="21">
        <f>AA51+AA52</f>
        <v>8788639</v>
      </c>
      <c r="AB50" s="21">
        <f>AB51+AB52</f>
        <v>105321406</v>
      </c>
      <c r="AC50" s="21">
        <f>SUM(AC51:AC52)</f>
        <v>7249934</v>
      </c>
      <c r="AD50" s="93">
        <f>AB50/C50</f>
        <v>0.93559698232249877</v>
      </c>
    </row>
    <row r="51" spans="1:32">
      <c r="A51" s="22" t="s">
        <v>67</v>
      </c>
      <c r="B51" s="3">
        <f>C51/12</f>
        <v>6505945</v>
      </c>
      <c r="C51" s="4">
        <v>78071340</v>
      </c>
      <c r="D51" s="3">
        <v>6433599</v>
      </c>
      <c r="E51" s="4">
        <f>D51</f>
        <v>6433599</v>
      </c>
      <c r="F51" s="3">
        <v>6700494</v>
      </c>
      <c r="G51" s="4">
        <f>E51+F51</f>
        <v>13134093</v>
      </c>
      <c r="H51" s="4">
        <v>6700494</v>
      </c>
      <c r="I51" s="4">
        <f>G51+H51</f>
        <v>19834587</v>
      </c>
      <c r="J51" s="4">
        <v>6700494</v>
      </c>
      <c r="K51" s="4">
        <f>I51+J51</f>
        <v>26535081</v>
      </c>
      <c r="L51" s="22" t="s">
        <v>67</v>
      </c>
      <c r="M51" s="4">
        <v>6700494</v>
      </c>
      <c r="N51" s="4">
        <f>K51+M51</f>
        <v>33235575</v>
      </c>
      <c r="O51" s="4">
        <v>6700494</v>
      </c>
      <c r="P51" s="4">
        <f>N51+O51</f>
        <v>39936069</v>
      </c>
      <c r="Q51" s="4">
        <v>6700494</v>
      </c>
      <c r="R51" s="4">
        <f>P51+Q51</f>
        <v>46636563</v>
      </c>
      <c r="S51" s="4">
        <v>6700494</v>
      </c>
      <c r="T51" s="4">
        <f>R51+S51</f>
        <v>53337057</v>
      </c>
      <c r="U51" s="4">
        <v>6700494</v>
      </c>
      <c r="V51" s="4">
        <f>T51+U51</f>
        <v>60037551</v>
      </c>
      <c r="W51" s="4">
        <v>6700494</v>
      </c>
      <c r="X51" s="4">
        <f>V51+W51</f>
        <v>66738045</v>
      </c>
      <c r="Y51" s="4">
        <v>6834494</v>
      </c>
      <c r="Z51" s="4">
        <f>X51+Y51</f>
        <v>73572539</v>
      </c>
      <c r="AA51" s="4">
        <v>6767494</v>
      </c>
      <c r="AB51" s="4">
        <f>Z51+AA51</f>
        <v>80340033</v>
      </c>
      <c r="AC51" s="3">
        <f>C51-AB51</f>
        <v>-2268693</v>
      </c>
      <c r="AD51" s="69">
        <f>AB51/C51</f>
        <v>1.029059229673783</v>
      </c>
    </row>
    <row r="52" spans="1:32">
      <c r="A52" s="23" t="s">
        <v>68</v>
      </c>
      <c r="B52" s="5">
        <f>C52/12</f>
        <v>2875000</v>
      </c>
      <c r="C52" s="6">
        <v>34500000</v>
      </c>
      <c r="D52" s="5">
        <v>2353238</v>
      </c>
      <c r="E52" s="6">
        <f>D52</f>
        <v>2353238</v>
      </c>
      <c r="F52" s="5">
        <v>1997927</v>
      </c>
      <c r="G52" s="4">
        <f>E52+F52</f>
        <v>4351165</v>
      </c>
      <c r="H52" s="4">
        <v>2062252</v>
      </c>
      <c r="I52" s="4">
        <f>G52+H52</f>
        <v>6413417</v>
      </c>
      <c r="J52" s="4">
        <v>2135896</v>
      </c>
      <c r="K52" s="4">
        <f>I52+J52</f>
        <v>8549313</v>
      </c>
      <c r="L52" s="23" t="s">
        <v>68</v>
      </c>
      <c r="M52" s="4">
        <v>2121844</v>
      </c>
      <c r="N52" s="4">
        <f>K52+M52</f>
        <v>10671157</v>
      </c>
      <c r="O52" s="4">
        <v>2086652</v>
      </c>
      <c r="P52" s="4">
        <f>N52+O52</f>
        <v>12757809</v>
      </c>
      <c r="Q52" s="4">
        <v>2066434</v>
      </c>
      <c r="R52" s="4">
        <f>P52+Q52</f>
        <v>14824243</v>
      </c>
      <c r="S52" s="4">
        <v>2072001</v>
      </c>
      <c r="T52" s="4">
        <f>R52+S52</f>
        <v>16896244</v>
      </c>
      <c r="U52" s="4">
        <v>2035183</v>
      </c>
      <c r="V52" s="4">
        <f>T52+U52</f>
        <v>18931427</v>
      </c>
      <c r="W52" s="4">
        <v>2030690</v>
      </c>
      <c r="X52" s="4">
        <f>V52+W52</f>
        <v>20962117</v>
      </c>
      <c r="Y52" s="4">
        <v>1998111</v>
      </c>
      <c r="Z52" s="4">
        <f>X52+Y52</f>
        <v>22960228</v>
      </c>
      <c r="AA52" s="4">
        <v>2021145</v>
      </c>
      <c r="AB52" s="4">
        <f>Z52+AA52</f>
        <v>24981373</v>
      </c>
      <c r="AC52" s="3">
        <f>C52-AB52</f>
        <v>9518627</v>
      </c>
      <c r="AD52" s="69">
        <f>AB52/C52</f>
        <v>0.72409776811594206</v>
      </c>
    </row>
    <row r="53" spans="1:32">
      <c r="A53" s="30" t="s">
        <v>69</v>
      </c>
      <c r="B53" s="31">
        <f>SUM(B54:B66)</f>
        <v>16415999.999999996</v>
      </c>
      <c r="C53" s="31">
        <f>SUM(C54:C66)</f>
        <v>196992000</v>
      </c>
      <c r="D53" s="31">
        <f t="shared" ref="D53:E53" si="69">SUM(D54:D66)</f>
        <v>10775932</v>
      </c>
      <c r="E53" s="31">
        <f t="shared" si="69"/>
        <v>10775932</v>
      </c>
      <c r="F53" s="31">
        <f>SUM(F54:F66)</f>
        <v>10445996</v>
      </c>
      <c r="G53" s="31">
        <f>SUM(G54:G66)</f>
        <v>21221928</v>
      </c>
      <c r="H53" s="31">
        <f>SUM(H54:H66)</f>
        <v>11014320</v>
      </c>
      <c r="I53" s="31">
        <f>SUM(I54:I66)</f>
        <v>32236248</v>
      </c>
      <c r="J53" s="31">
        <f>SUM(J54:J66)</f>
        <v>10238485</v>
      </c>
      <c r="K53" s="31">
        <f t="shared" ref="K53:V53" si="70">SUM(K54:K66)</f>
        <v>42474733</v>
      </c>
      <c r="L53" s="30" t="s">
        <v>69</v>
      </c>
      <c r="M53" s="31">
        <f t="shared" si="70"/>
        <v>10168565</v>
      </c>
      <c r="N53" s="31">
        <f t="shared" si="70"/>
        <v>52643298</v>
      </c>
      <c r="O53" s="31">
        <f t="shared" si="70"/>
        <v>10321243</v>
      </c>
      <c r="P53" s="31">
        <f t="shared" si="70"/>
        <v>62964541</v>
      </c>
      <c r="Q53" s="31">
        <f t="shared" si="70"/>
        <v>13481611</v>
      </c>
      <c r="R53" s="31">
        <f t="shared" si="70"/>
        <v>76446152</v>
      </c>
      <c r="S53" s="31">
        <f t="shared" si="70"/>
        <v>11156019</v>
      </c>
      <c r="T53" s="31">
        <f t="shared" si="70"/>
        <v>87602171</v>
      </c>
      <c r="U53" s="31">
        <f t="shared" si="70"/>
        <v>9317756</v>
      </c>
      <c r="V53" s="31">
        <f t="shared" si="70"/>
        <v>96919927</v>
      </c>
      <c r="W53" s="31">
        <f>SUM(W54:W66)</f>
        <v>14014447</v>
      </c>
      <c r="X53" s="31">
        <f>SUM(X54:X66)</f>
        <v>110934374</v>
      </c>
      <c r="Y53" s="31">
        <f t="shared" ref="Y53" si="71">SUM(Y54:Y66)</f>
        <v>8469888</v>
      </c>
      <c r="Z53" s="31">
        <f>SUM(Z54:Z66)</f>
        <v>119404262</v>
      </c>
      <c r="AA53" s="31">
        <f t="shared" ref="AA53:AB53" si="72">SUM(AA54:AA66)</f>
        <v>8453700</v>
      </c>
      <c r="AB53" s="31">
        <f t="shared" si="72"/>
        <v>127857962</v>
      </c>
      <c r="AC53" s="31">
        <f>SUM(AC54:AC66)</f>
        <v>69134038</v>
      </c>
      <c r="AD53" s="73">
        <f>AB53/C53</f>
        <v>0.64905154524041586</v>
      </c>
      <c r="AF53" s="103"/>
    </row>
    <row r="54" spans="1:32">
      <c r="A54" s="22" t="s">
        <v>70</v>
      </c>
      <c r="B54" s="4">
        <f>C54/12</f>
        <v>350000</v>
      </c>
      <c r="C54" s="4">
        <v>4200000</v>
      </c>
      <c r="D54" s="4"/>
      <c r="E54" s="4">
        <f>D54</f>
        <v>0</v>
      </c>
      <c r="F54" s="109">
        <f>331768-103268</f>
        <v>228500</v>
      </c>
      <c r="G54" s="4">
        <f>E54+F54</f>
        <v>228500</v>
      </c>
      <c r="H54" s="4">
        <v>228500</v>
      </c>
      <c r="I54" s="4">
        <f>G54+H54</f>
        <v>457000</v>
      </c>
      <c r="J54" s="4"/>
      <c r="K54" s="4">
        <f>I54+J54</f>
        <v>457000</v>
      </c>
      <c r="L54" s="22" t="s">
        <v>70</v>
      </c>
      <c r="M54" s="4">
        <v>406500</v>
      </c>
      <c r="N54" s="4">
        <f>K54+M54</f>
        <v>863500</v>
      </c>
      <c r="O54" s="4"/>
      <c r="P54" s="4">
        <f>N54+O54</f>
        <v>863500</v>
      </c>
      <c r="Q54" s="4"/>
      <c r="R54" s="4">
        <f>P54+Q54</f>
        <v>863500</v>
      </c>
      <c r="S54" s="4">
        <f>693188-103268</f>
        <v>589920</v>
      </c>
      <c r="T54" s="4">
        <f>R54+S54</f>
        <v>1453420</v>
      </c>
      <c r="U54" s="4"/>
      <c r="V54" s="4">
        <f t="shared" ref="V54:V66" si="73">T54+U54</f>
        <v>1453420</v>
      </c>
      <c r="W54" s="4">
        <f>2331768-103268</f>
        <v>2228500</v>
      </c>
      <c r="X54" s="4">
        <f>V54+W54</f>
        <v>3681920</v>
      </c>
      <c r="Y54" s="4"/>
      <c r="Z54" s="4">
        <f>X54+Y54</f>
        <v>3681920</v>
      </c>
      <c r="AA54" s="4"/>
      <c r="AB54" s="4">
        <f>Z54+AA54</f>
        <v>3681920</v>
      </c>
      <c r="AC54" s="4">
        <f>C54-AB54</f>
        <v>518080</v>
      </c>
      <c r="AD54" s="69">
        <f>AB54/C54</f>
        <v>0.87664761904761901</v>
      </c>
    </row>
    <row r="55" spans="1:32">
      <c r="A55" s="23" t="s">
        <v>71</v>
      </c>
      <c r="B55" s="4">
        <v>1523500</v>
      </c>
      <c r="C55" s="6">
        <f>B55*12</f>
        <v>18282000</v>
      </c>
      <c r="D55" s="4">
        <v>1620000</v>
      </c>
      <c r="E55" s="4">
        <f t="shared" ref="E55:E66" si="74">D55</f>
        <v>1620000</v>
      </c>
      <c r="F55" s="109">
        <v>2405000</v>
      </c>
      <c r="G55" s="4">
        <f t="shared" ref="G55:G66" si="75">E55+F55</f>
        <v>4025000</v>
      </c>
      <c r="H55" s="4"/>
      <c r="I55" s="4">
        <f t="shared" ref="I55:I66" si="76">G55+H55</f>
        <v>4025000</v>
      </c>
      <c r="J55" s="4"/>
      <c r="K55" s="4">
        <f t="shared" ref="K55:K66" si="77">I55+J55</f>
        <v>4025000</v>
      </c>
      <c r="L55" s="23" t="s">
        <v>71</v>
      </c>
      <c r="M55" s="4"/>
      <c r="N55" s="4">
        <f t="shared" ref="N55:N66" si="78">K55+M55</f>
        <v>4025000</v>
      </c>
      <c r="O55" s="4"/>
      <c r="P55" s="4">
        <f t="shared" ref="P55:P66" si="79">N55+O55</f>
        <v>4025000</v>
      </c>
      <c r="Q55" s="4"/>
      <c r="R55" s="4">
        <f t="shared" ref="R55:R66" si="80">P55+Q55</f>
        <v>4025000</v>
      </c>
      <c r="S55" s="4"/>
      <c r="T55" s="4">
        <f t="shared" ref="T55:T66" si="81">R55+S55</f>
        <v>4025000</v>
      </c>
      <c r="U55" s="4"/>
      <c r="V55" s="4">
        <f t="shared" si="73"/>
        <v>4025000</v>
      </c>
      <c r="W55" s="4"/>
      <c r="X55" s="4">
        <f t="shared" ref="X55:X66" si="82">V55+W55</f>
        <v>4025000</v>
      </c>
      <c r="Y55" s="4"/>
      <c r="Z55" s="4">
        <f t="shared" ref="Z55:Z66" si="83">X55+Y55</f>
        <v>4025000</v>
      </c>
      <c r="AA55" s="4"/>
      <c r="AB55" s="4">
        <f t="shared" ref="AB55:AB66" si="84">Z55+AA55</f>
        <v>4025000</v>
      </c>
      <c r="AC55" s="4">
        <f t="shared" ref="AC55:AC66" si="85">C55-AB55</f>
        <v>14257000</v>
      </c>
      <c r="AD55" s="69">
        <f t="shared" ref="AD55:AD66" si="86">AB55/C55</f>
        <v>0.22016190788753964</v>
      </c>
    </row>
    <row r="56" spans="1:32">
      <c r="A56" s="23" t="s">
        <v>72</v>
      </c>
      <c r="B56" s="4">
        <v>110000</v>
      </c>
      <c r="C56" s="6">
        <f>B56*12</f>
        <v>1320000</v>
      </c>
      <c r="D56" s="4">
        <v>103267</v>
      </c>
      <c r="E56" s="4">
        <f t="shared" si="74"/>
        <v>103267</v>
      </c>
      <c r="F56" s="4">
        <v>103268</v>
      </c>
      <c r="G56" s="4">
        <f t="shared" si="75"/>
        <v>206535</v>
      </c>
      <c r="H56" s="4">
        <v>103268</v>
      </c>
      <c r="I56" s="4">
        <f t="shared" si="76"/>
        <v>309803</v>
      </c>
      <c r="J56" s="4">
        <f>413071-I56</f>
        <v>103268</v>
      </c>
      <c r="K56" s="4">
        <f t="shared" si="77"/>
        <v>413071</v>
      </c>
      <c r="L56" s="23" t="s">
        <v>72</v>
      </c>
      <c r="M56" s="4">
        <v>103267</v>
      </c>
      <c r="N56" s="4">
        <f t="shared" si="78"/>
        <v>516338</v>
      </c>
      <c r="O56" s="4">
        <v>103268</v>
      </c>
      <c r="P56" s="4">
        <f t="shared" si="79"/>
        <v>619606</v>
      </c>
      <c r="Q56" s="4">
        <v>103268</v>
      </c>
      <c r="R56" s="4">
        <f t="shared" si="80"/>
        <v>722874</v>
      </c>
      <c r="S56" s="4">
        <v>103268</v>
      </c>
      <c r="T56" s="4">
        <f t="shared" si="81"/>
        <v>826142</v>
      </c>
      <c r="U56" s="4">
        <v>103268</v>
      </c>
      <c r="V56" s="4">
        <f t="shared" si="73"/>
        <v>929410</v>
      </c>
      <c r="W56" s="4">
        <v>103268</v>
      </c>
      <c r="X56" s="4">
        <f t="shared" si="82"/>
        <v>1032678</v>
      </c>
      <c r="Y56" s="4">
        <v>103268</v>
      </c>
      <c r="Z56" s="4">
        <f t="shared" si="83"/>
        <v>1135946</v>
      </c>
      <c r="AA56" s="4">
        <v>103268</v>
      </c>
      <c r="AB56" s="4">
        <f t="shared" si="84"/>
        <v>1239214</v>
      </c>
      <c r="AC56" s="4">
        <f t="shared" si="85"/>
        <v>80786</v>
      </c>
      <c r="AD56" s="69">
        <f t="shared" si="86"/>
        <v>0.93879848484848483</v>
      </c>
    </row>
    <row r="57" spans="1:32">
      <c r="A57" s="23" t="s">
        <v>73</v>
      </c>
      <c r="B57" s="4">
        <v>3500000</v>
      </c>
      <c r="C57" s="6">
        <f>+B57*12</f>
        <v>42000000</v>
      </c>
      <c r="D57" s="4">
        <v>2074375</v>
      </c>
      <c r="E57" s="4">
        <f>+D57</f>
        <v>2074375</v>
      </c>
      <c r="F57" s="4"/>
      <c r="G57" s="4">
        <f>+F57+E57</f>
        <v>2074375</v>
      </c>
      <c r="H57" s="4">
        <v>2000000</v>
      </c>
      <c r="I57" s="4">
        <f>+H57+G57</f>
        <v>4074375</v>
      </c>
      <c r="J57" s="4">
        <v>2000000</v>
      </c>
      <c r="K57" s="4">
        <f>+J57+I57</f>
        <v>6074375</v>
      </c>
      <c r="L57" s="23" t="s">
        <v>73</v>
      </c>
      <c r="M57" s="4">
        <v>2000000</v>
      </c>
      <c r="N57" s="4">
        <f>+M57+K57</f>
        <v>8074375</v>
      </c>
      <c r="O57" s="4">
        <v>2000000</v>
      </c>
      <c r="P57" s="4">
        <f>+O57+N57</f>
        <v>10074375</v>
      </c>
      <c r="Q57" s="4">
        <v>5094000</v>
      </c>
      <c r="R57" s="4">
        <f t="shared" si="80"/>
        <v>15168375</v>
      </c>
      <c r="S57" s="4">
        <v>2000000</v>
      </c>
      <c r="T57" s="4">
        <f t="shared" si="81"/>
        <v>17168375</v>
      </c>
      <c r="U57" s="4">
        <v>2000000</v>
      </c>
      <c r="V57" s="4">
        <f t="shared" si="73"/>
        <v>19168375</v>
      </c>
      <c r="W57" s="4">
        <v>2620000</v>
      </c>
      <c r="X57" s="4">
        <f t="shared" si="82"/>
        <v>21788375</v>
      </c>
      <c r="Y57" s="4">
        <v>2000000</v>
      </c>
      <c r="Z57" s="4">
        <f t="shared" si="83"/>
        <v>23788375</v>
      </c>
      <c r="AA57" s="4">
        <v>2000000</v>
      </c>
      <c r="AB57" s="4">
        <f t="shared" si="84"/>
        <v>25788375</v>
      </c>
      <c r="AC57" s="4">
        <f t="shared" si="85"/>
        <v>16211625</v>
      </c>
      <c r="AD57" s="69">
        <f t="shared" si="86"/>
        <v>0.61400892857142852</v>
      </c>
    </row>
    <row r="58" spans="1:32">
      <c r="A58" s="23" t="s">
        <v>74</v>
      </c>
      <c r="B58" s="4">
        <f t="shared" ref="B58:B65" si="87">C58/12</f>
        <v>183333.33333333334</v>
      </c>
      <c r="C58" s="6">
        <v>2200000</v>
      </c>
      <c r="D58" s="4">
        <v>222710</v>
      </c>
      <c r="E58" s="4">
        <f t="shared" si="74"/>
        <v>222710</v>
      </c>
      <c r="F58" s="109">
        <v>177120</v>
      </c>
      <c r="G58" s="4">
        <f t="shared" si="75"/>
        <v>399830</v>
      </c>
      <c r="H58" s="4">
        <v>194090</v>
      </c>
      <c r="I58" s="4">
        <f t="shared" si="76"/>
        <v>593920</v>
      </c>
      <c r="J58" s="4">
        <f>820480-I58</f>
        <v>226560</v>
      </c>
      <c r="K58" s="4">
        <f t="shared" si="77"/>
        <v>820480</v>
      </c>
      <c r="L58" s="23" t="s">
        <v>74</v>
      </c>
      <c r="M58" s="4">
        <v>166380</v>
      </c>
      <c r="N58" s="4">
        <f t="shared" si="78"/>
        <v>986860</v>
      </c>
      <c r="O58" s="4">
        <v>189680</v>
      </c>
      <c r="P58" s="4">
        <f t="shared" si="79"/>
        <v>1176540</v>
      </c>
      <c r="Q58" s="4">
        <v>116680</v>
      </c>
      <c r="R58" s="4">
        <f t="shared" si="80"/>
        <v>1293220</v>
      </c>
      <c r="S58" s="4">
        <v>142880</v>
      </c>
      <c r="T58" s="4">
        <f t="shared" si="81"/>
        <v>1436100</v>
      </c>
      <c r="U58" s="4">
        <v>293040</v>
      </c>
      <c r="V58" s="4">
        <f t="shared" si="73"/>
        <v>1729140</v>
      </c>
      <c r="W58" s="4">
        <v>153280</v>
      </c>
      <c r="X58" s="4">
        <f t="shared" si="82"/>
        <v>1882420</v>
      </c>
      <c r="Y58" s="4">
        <v>150680</v>
      </c>
      <c r="Z58" s="4">
        <f t="shared" si="83"/>
        <v>2033100</v>
      </c>
      <c r="AA58" s="4">
        <v>168890</v>
      </c>
      <c r="AB58" s="4">
        <f t="shared" si="84"/>
        <v>2201990</v>
      </c>
      <c r="AC58" s="4">
        <f t="shared" si="85"/>
        <v>-1990</v>
      </c>
      <c r="AD58" s="69">
        <f t="shared" si="86"/>
        <v>1.0009045454545455</v>
      </c>
    </row>
    <row r="59" spans="1:32">
      <c r="A59" s="23" t="s">
        <v>75</v>
      </c>
      <c r="B59" s="4">
        <v>5500000</v>
      </c>
      <c r="C59" s="6">
        <f>B59*12</f>
        <v>66000000</v>
      </c>
      <c r="D59" s="4">
        <v>2708030</v>
      </c>
      <c r="E59" s="4">
        <f t="shared" si="74"/>
        <v>2708030</v>
      </c>
      <c r="F59" s="109">
        <v>3284450</v>
      </c>
      <c r="G59" s="4">
        <f t="shared" si="75"/>
        <v>5992480</v>
      </c>
      <c r="H59" s="4">
        <v>3438410</v>
      </c>
      <c r="I59" s="4">
        <f t="shared" si="76"/>
        <v>9430890</v>
      </c>
      <c r="J59" s="4">
        <f>12827110-I59</f>
        <v>3396220</v>
      </c>
      <c r="K59" s="4">
        <f t="shared" si="77"/>
        <v>12827110</v>
      </c>
      <c r="L59" s="23" t="s">
        <v>75</v>
      </c>
      <c r="M59" s="4">
        <v>3347960</v>
      </c>
      <c r="N59" s="4">
        <f t="shared" si="78"/>
        <v>16175070</v>
      </c>
      <c r="O59" s="4">
        <v>3360430</v>
      </c>
      <c r="P59" s="4">
        <f t="shared" si="79"/>
        <v>19535500</v>
      </c>
      <c r="Q59" s="4">
        <v>3905840</v>
      </c>
      <c r="R59" s="4">
        <f t="shared" si="80"/>
        <v>23441340</v>
      </c>
      <c r="S59" s="4">
        <v>3396570</v>
      </c>
      <c r="T59" s="4">
        <f t="shared" si="81"/>
        <v>26837910</v>
      </c>
      <c r="U59" s="4">
        <v>3346200</v>
      </c>
      <c r="V59" s="4">
        <f t="shared" si="73"/>
        <v>30184110</v>
      </c>
      <c r="W59" s="4">
        <v>3005340</v>
      </c>
      <c r="X59" s="4">
        <f t="shared" si="82"/>
        <v>33189450</v>
      </c>
      <c r="Y59" s="4">
        <v>2571740</v>
      </c>
      <c r="Z59" s="4">
        <f t="shared" si="83"/>
        <v>35761190</v>
      </c>
      <c r="AA59" s="4">
        <v>2299470</v>
      </c>
      <c r="AB59" s="4">
        <f t="shared" si="84"/>
        <v>38060660</v>
      </c>
      <c r="AC59" s="4">
        <f t="shared" si="85"/>
        <v>27939340</v>
      </c>
      <c r="AD59" s="69">
        <f t="shared" si="86"/>
        <v>0.57667666666666662</v>
      </c>
    </row>
    <row r="60" spans="1:32">
      <c r="A60" s="23" t="s">
        <v>76</v>
      </c>
      <c r="B60" s="4">
        <f t="shared" si="87"/>
        <v>741666.66666666663</v>
      </c>
      <c r="C60" s="6">
        <v>8900000</v>
      </c>
      <c r="D60" s="4">
        <v>733252</v>
      </c>
      <c r="E60" s="4">
        <f t="shared" si="74"/>
        <v>733252</v>
      </c>
      <c r="F60" s="109">
        <v>733252</v>
      </c>
      <c r="G60" s="4">
        <f t="shared" si="75"/>
        <v>1466504</v>
      </c>
      <c r="H60" s="4">
        <v>733389</v>
      </c>
      <c r="I60" s="4">
        <f t="shared" si="76"/>
        <v>2199893</v>
      </c>
      <c r="J60" s="4">
        <f>2940179-I60</f>
        <v>740286</v>
      </c>
      <c r="K60" s="4">
        <f t="shared" si="77"/>
        <v>2940179</v>
      </c>
      <c r="L60" s="23" t="s">
        <v>76</v>
      </c>
      <c r="M60" s="4">
        <v>747252</v>
      </c>
      <c r="N60" s="4">
        <f t="shared" si="78"/>
        <v>3687431</v>
      </c>
      <c r="O60" s="4">
        <v>748100</v>
      </c>
      <c r="P60" s="4">
        <f t="shared" si="79"/>
        <v>4435531</v>
      </c>
      <c r="Q60" s="4">
        <v>747252</v>
      </c>
      <c r="R60" s="4">
        <f t="shared" si="80"/>
        <v>5182783</v>
      </c>
      <c r="S60" s="4">
        <v>755320</v>
      </c>
      <c r="T60" s="4">
        <f t="shared" si="81"/>
        <v>5938103</v>
      </c>
      <c r="U60" s="4">
        <v>754074</v>
      </c>
      <c r="V60" s="4">
        <f t="shared" si="73"/>
        <v>6692177</v>
      </c>
      <c r="W60" s="4">
        <v>747252</v>
      </c>
      <c r="X60" s="4">
        <f t="shared" si="82"/>
        <v>7439429</v>
      </c>
      <c r="Y60" s="4">
        <v>747252</v>
      </c>
      <c r="Z60" s="4">
        <f t="shared" si="83"/>
        <v>8186681</v>
      </c>
      <c r="AA60" s="4">
        <v>747389</v>
      </c>
      <c r="AB60" s="4">
        <f t="shared" si="84"/>
        <v>8934070</v>
      </c>
      <c r="AC60" s="4">
        <f t="shared" si="85"/>
        <v>-34070</v>
      </c>
      <c r="AD60" s="69">
        <f t="shared" si="86"/>
        <v>1.0038280898876404</v>
      </c>
    </row>
    <row r="61" spans="1:32">
      <c r="A61" s="23" t="s">
        <v>77</v>
      </c>
      <c r="B61" s="4">
        <f t="shared" si="87"/>
        <v>2125000</v>
      </c>
      <c r="C61" s="6">
        <v>25500000</v>
      </c>
      <c r="D61" s="4">
        <v>1578892</v>
      </c>
      <c r="E61" s="4">
        <f t="shared" si="74"/>
        <v>1578892</v>
      </c>
      <c r="F61" s="109">
        <v>2194973</v>
      </c>
      <c r="G61" s="4">
        <f t="shared" si="75"/>
        <v>3773865</v>
      </c>
      <c r="H61" s="4">
        <v>1980224</v>
      </c>
      <c r="I61" s="4">
        <f t="shared" si="76"/>
        <v>5754089</v>
      </c>
      <c r="J61" s="4">
        <f>8099059-I61</f>
        <v>2344970</v>
      </c>
      <c r="K61" s="4">
        <f t="shared" si="77"/>
        <v>8099059</v>
      </c>
      <c r="L61" s="23" t="s">
        <v>77</v>
      </c>
      <c r="M61" s="4">
        <v>2045691</v>
      </c>
      <c r="N61" s="4">
        <f t="shared" si="78"/>
        <v>10144750</v>
      </c>
      <c r="O61" s="4">
        <v>2603065</v>
      </c>
      <c r="P61" s="4">
        <f t="shared" si="79"/>
        <v>12747815</v>
      </c>
      <c r="Q61" s="4">
        <v>2198177</v>
      </c>
      <c r="R61" s="4">
        <f t="shared" si="80"/>
        <v>14945992</v>
      </c>
      <c r="S61" s="4">
        <v>1678028</v>
      </c>
      <c r="T61" s="4">
        <f t="shared" si="81"/>
        <v>16624020</v>
      </c>
      <c r="U61" s="4">
        <v>1449748</v>
      </c>
      <c r="V61" s="4">
        <f t="shared" si="73"/>
        <v>18073768</v>
      </c>
      <c r="W61" s="4">
        <f>1538258+1135000+470000</f>
        <v>3143258</v>
      </c>
      <c r="X61" s="4">
        <f t="shared" si="82"/>
        <v>21217026</v>
      </c>
      <c r="Y61" s="4">
        <v>1586270</v>
      </c>
      <c r="Z61" s="4">
        <f t="shared" si="83"/>
        <v>22803296</v>
      </c>
      <c r="AA61" s="4">
        <v>1827104</v>
      </c>
      <c r="AB61" s="4">
        <f t="shared" si="84"/>
        <v>24630400</v>
      </c>
      <c r="AC61" s="4">
        <f t="shared" si="85"/>
        <v>869600</v>
      </c>
      <c r="AD61" s="69">
        <f t="shared" si="86"/>
        <v>0.96589803921568629</v>
      </c>
    </row>
    <row r="62" spans="1:32">
      <c r="A62" s="23" t="s">
        <v>78</v>
      </c>
      <c r="B62" s="4">
        <f t="shared" si="87"/>
        <v>166666.66666666666</v>
      </c>
      <c r="C62" s="6">
        <v>2000000</v>
      </c>
      <c r="D62" s="4"/>
      <c r="E62" s="4">
        <f t="shared" si="74"/>
        <v>0</v>
      </c>
      <c r="F62" s="4"/>
      <c r="G62" s="4">
        <f t="shared" si="75"/>
        <v>0</v>
      </c>
      <c r="H62" s="4"/>
      <c r="I62" s="4">
        <f t="shared" si="76"/>
        <v>0</v>
      </c>
      <c r="J62" s="4">
        <v>110000</v>
      </c>
      <c r="K62" s="4">
        <f t="shared" si="77"/>
        <v>110000</v>
      </c>
      <c r="L62" s="23" t="s">
        <v>78</v>
      </c>
      <c r="M62" s="4"/>
      <c r="N62" s="4">
        <f t="shared" si="78"/>
        <v>110000</v>
      </c>
      <c r="O62" s="4"/>
      <c r="P62" s="4">
        <f t="shared" si="79"/>
        <v>110000</v>
      </c>
      <c r="Q62" s="4"/>
      <c r="R62" s="4">
        <f t="shared" si="80"/>
        <v>110000</v>
      </c>
      <c r="S62" s="4"/>
      <c r="T62" s="4">
        <f t="shared" si="81"/>
        <v>110000</v>
      </c>
      <c r="U62" s="4"/>
      <c r="V62" s="4">
        <f t="shared" si="73"/>
        <v>110000</v>
      </c>
      <c r="W62" s="4">
        <v>700000</v>
      </c>
      <c r="X62" s="4">
        <f t="shared" si="82"/>
        <v>810000</v>
      </c>
      <c r="Y62" s="4"/>
      <c r="Z62" s="4">
        <f t="shared" si="83"/>
        <v>810000</v>
      </c>
      <c r="AA62" s="4"/>
      <c r="AB62" s="4">
        <f t="shared" si="84"/>
        <v>810000</v>
      </c>
      <c r="AC62" s="4">
        <f t="shared" si="85"/>
        <v>1190000</v>
      </c>
      <c r="AD62" s="69">
        <f t="shared" si="86"/>
        <v>0.40500000000000003</v>
      </c>
    </row>
    <row r="63" spans="1:32">
      <c r="A63" s="23" t="s">
        <v>79</v>
      </c>
      <c r="B63" s="4">
        <f t="shared" si="87"/>
        <v>24166.666666666668</v>
      </c>
      <c r="C63" s="6">
        <v>290000</v>
      </c>
      <c r="D63" s="4">
        <v>23754</v>
      </c>
      <c r="E63" s="4">
        <f t="shared" si="74"/>
        <v>23754</v>
      </c>
      <c r="F63" s="4">
        <v>35547</v>
      </c>
      <c r="G63" s="4">
        <f t="shared" si="75"/>
        <v>59301</v>
      </c>
      <c r="H63" s="4">
        <f>96695-59301</f>
        <v>37394</v>
      </c>
      <c r="I63" s="4">
        <f t="shared" si="76"/>
        <v>96695</v>
      </c>
      <c r="J63" s="4">
        <f>129990-I63</f>
        <v>33295</v>
      </c>
      <c r="K63" s="4">
        <f t="shared" si="77"/>
        <v>129990</v>
      </c>
      <c r="L63" s="23" t="s">
        <v>79</v>
      </c>
      <c r="M63" s="4">
        <v>32629</v>
      </c>
      <c r="N63" s="4">
        <f t="shared" si="78"/>
        <v>162619</v>
      </c>
      <c r="O63" s="4">
        <v>32814</v>
      </c>
      <c r="P63" s="4">
        <f t="shared" si="79"/>
        <v>195433</v>
      </c>
      <c r="Q63" s="4">
        <v>32508</v>
      </c>
      <c r="R63" s="4">
        <f t="shared" si="80"/>
        <v>227941</v>
      </c>
      <c r="S63" s="4">
        <v>29857</v>
      </c>
      <c r="T63" s="4">
        <f t="shared" si="81"/>
        <v>257798</v>
      </c>
      <c r="U63" s="4">
        <v>23540</v>
      </c>
      <c r="V63" s="4">
        <f t="shared" si="73"/>
        <v>281338</v>
      </c>
      <c r="W63" s="4">
        <v>29663</v>
      </c>
      <c r="X63" s="4">
        <f t="shared" si="82"/>
        <v>311001</v>
      </c>
      <c r="Y63" s="4">
        <v>26792</v>
      </c>
      <c r="Z63" s="4">
        <f t="shared" si="83"/>
        <v>337793</v>
      </c>
      <c r="AA63" s="4">
        <v>23693</v>
      </c>
      <c r="AB63" s="4">
        <f t="shared" si="84"/>
        <v>361486</v>
      </c>
      <c r="AC63" s="4">
        <f t="shared" si="85"/>
        <v>-71486</v>
      </c>
      <c r="AD63" s="69">
        <f t="shared" si="86"/>
        <v>1.2465034482758621</v>
      </c>
    </row>
    <row r="64" spans="1:32">
      <c r="A64" s="23" t="s">
        <v>80</v>
      </c>
      <c r="B64" s="4">
        <f t="shared" si="87"/>
        <v>1650000</v>
      </c>
      <c r="C64" s="6">
        <v>19800000</v>
      </c>
      <c r="D64" s="4">
        <v>1361652</v>
      </c>
      <c r="E64" s="4">
        <f t="shared" si="74"/>
        <v>1361652</v>
      </c>
      <c r="F64" s="4">
        <v>1283886</v>
      </c>
      <c r="G64" s="4">
        <f t="shared" si="75"/>
        <v>2645538</v>
      </c>
      <c r="H64" s="4">
        <v>1329313</v>
      </c>
      <c r="I64" s="4">
        <f t="shared" si="76"/>
        <v>3974851</v>
      </c>
      <c r="J64" s="4">
        <f>5258737-I64</f>
        <v>1283886</v>
      </c>
      <c r="K64" s="4">
        <f t="shared" si="77"/>
        <v>5258737</v>
      </c>
      <c r="L64" s="23" t="s">
        <v>80</v>
      </c>
      <c r="M64" s="4">
        <v>1283886</v>
      </c>
      <c r="N64" s="4">
        <f t="shared" si="78"/>
        <v>6542623</v>
      </c>
      <c r="O64" s="4">
        <v>1283886</v>
      </c>
      <c r="P64" s="4">
        <f t="shared" si="79"/>
        <v>7826509</v>
      </c>
      <c r="Q64" s="4">
        <v>1283886</v>
      </c>
      <c r="R64" s="4">
        <f t="shared" si="80"/>
        <v>9110395</v>
      </c>
      <c r="S64" s="4">
        <v>1283886</v>
      </c>
      <c r="T64" s="4">
        <f t="shared" si="81"/>
        <v>10394281</v>
      </c>
      <c r="U64" s="4">
        <v>1283886</v>
      </c>
      <c r="V64" s="4">
        <f t="shared" si="73"/>
        <v>11678167</v>
      </c>
      <c r="W64" s="4">
        <v>1283886</v>
      </c>
      <c r="X64" s="4">
        <f t="shared" si="82"/>
        <v>12962053</v>
      </c>
      <c r="Y64" s="4">
        <v>1283886</v>
      </c>
      <c r="Z64" s="4">
        <f t="shared" si="83"/>
        <v>14245939</v>
      </c>
      <c r="AA64" s="4">
        <v>1283886</v>
      </c>
      <c r="AB64" s="4">
        <f t="shared" si="84"/>
        <v>15529825</v>
      </c>
      <c r="AC64" s="4">
        <f t="shared" si="85"/>
        <v>4270175</v>
      </c>
      <c r="AD64" s="69">
        <f t="shared" si="86"/>
        <v>0.78433459595959598</v>
      </c>
    </row>
    <row r="65" spans="1:30">
      <c r="A65" s="23" t="s">
        <v>81</v>
      </c>
      <c r="B65" s="4">
        <f t="shared" si="87"/>
        <v>291666.66666666669</v>
      </c>
      <c r="C65" s="6">
        <v>3500000</v>
      </c>
      <c r="D65" s="4"/>
      <c r="E65" s="4">
        <f t="shared" si="74"/>
        <v>0</v>
      </c>
      <c r="F65" s="4"/>
      <c r="G65" s="4">
        <f t="shared" si="75"/>
        <v>0</v>
      </c>
      <c r="H65" s="4">
        <v>848232</v>
      </c>
      <c r="I65" s="4">
        <f t="shared" si="76"/>
        <v>848232</v>
      </c>
      <c r="J65" s="4"/>
      <c r="K65" s="4">
        <f t="shared" si="77"/>
        <v>848232</v>
      </c>
      <c r="L65" s="23" t="s">
        <v>81</v>
      </c>
      <c r="M65" s="4"/>
      <c r="N65" s="4">
        <f t="shared" si="78"/>
        <v>848232</v>
      </c>
      <c r="O65" s="4"/>
      <c r="P65" s="4">
        <f t="shared" si="79"/>
        <v>848232</v>
      </c>
      <c r="Q65" s="4"/>
      <c r="R65" s="4">
        <f t="shared" si="80"/>
        <v>848232</v>
      </c>
      <c r="S65" s="4">
        <v>584290</v>
      </c>
      <c r="T65" s="4">
        <f t="shared" si="81"/>
        <v>1432522</v>
      </c>
      <c r="U65" s="4">
        <v>64000</v>
      </c>
      <c r="V65" s="4">
        <f t="shared" si="73"/>
        <v>1496522</v>
      </c>
      <c r="W65" s="4"/>
      <c r="X65" s="4">
        <f t="shared" si="82"/>
        <v>1496522</v>
      </c>
      <c r="Y65" s="4"/>
      <c r="Z65" s="4">
        <f t="shared" si="83"/>
        <v>1496522</v>
      </c>
      <c r="AA65" s="4"/>
      <c r="AB65" s="4">
        <f t="shared" si="84"/>
        <v>1496522</v>
      </c>
      <c r="AC65" s="4">
        <f t="shared" si="85"/>
        <v>2003478</v>
      </c>
      <c r="AD65" s="69">
        <f t="shared" si="86"/>
        <v>0.42757771428571428</v>
      </c>
    </row>
    <row r="66" spans="1:30">
      <c r="A66" s="24" t="s">
        <v>82</v>
      </c>
      <c r="B66" s="32">
        <f>C66/12</f>
        <v>250000</v>
      </c>
      <c r="C66" s="96">
        <v>3000000</v>
      </c>
      <c r="D66" s="32">
        <v>350000</v>
      </c>
      <c r="E66" s="32">
        <f t="shared" si="74"/>
        <v>350000</v>
      </c>
      <c r="F66" s="32">
        <v>0</v>
      </c>
      <c r="G66" s="32">
        <f t="shared" si="75"/>
        <v>350000</v>
      </c>
      <c r="H66" s="32">
        <f>700000-578500</f>
        <v>121500</v>
      </c>
      <c r="I66" s="32">
        <f t="shared" si="76"/>
        <v>471500</v>
      </c>
      <c r="J66" s="32"/>
      <c r="K66" s="4">
        <f t="shared" si="77"/>
        <v>471500</v>
      </c>
      <c r="L66" s="24" t="s">
        <v>82</v>
      </c>
      <c r="M66" s="4">
        <v>35000</v>
      </c>
      <c r="N66" s="4">
        <f t="shared" si="78"/>
        <v>506500</v>
      </c>
      <c r="O66" s="4"/>
      <c r="P66" s="4">
        <f t="shared" si="79"/>
        <v>506500</v>
      </c>
      <c r="Q66" s="4"/>
      <c r="R66" s="4">
        <f t="shared" si="80"/>
        <v>506500</v>
      </c>
      <c r="S66" s="4">
        <v>592000</v>
      </c>
      <c r="T66" s="4">
        <f t="shared" si="81"/>
        <v>1098500</v>
      </c>
      <c r="U66" s="4"/>
      <c r="V66" s="4">
        <f t="shared" si="73"/>
        <v>1098500</v>
      </c>
      <c r="W66" s="4"/>
      <c r="X66" s="4">
        <f t="shared" si="82"/>
        <v>1098500</v>
      </c>
      <c r="Y66" s="4"/>
      <c r="Z66" s="4">
        <f t="shared" si="83"/>
        <v>1098500</v>
      </c>
      <c r="AA66" s="4"/>
      <c r="AB66" s="4">
        <f t="shared" si="84"/>
        <v>1098500</v>
      </c>
      <c r="AC66" s="4">
        <f t="shared" si="85"/>
        <v>1901500</v>
      </c>
      <c r="AD66" s="69">
        <f t="shared" si="86"/>
        <v>0.36616666666666664</v>
      </c>
    </row>
    <row r="67" spans="1:30">
      <c r="A67" s="99" t="s">
        <v>83</v>
      </c>
      <c r="B67" s="100">
        <f>B68</f>
        <v>183333.33333333334</v>
      </c>
      <c r="C67" s="100">
        <f>+C68</f>
        <v>2200000</v>
      </c>
      <c r="D67" s="100">
        <f t="shared" ref="D67:AC67" si="88">+D68</f>
        <v>0</v>
      </c>
      <c r="E67" s="100">
        <f t="shared" si="88"/>
        <v>0</v>
      </c>
      <c r="F67" s="100">
        <f t="shared" si="88"/>
        <v>0</v>
      </c>
      <c r="G67" s="100">
        <f t="shared" si="88"/>
        <v>0</v>
      </c>
      <c r="H67" s="100">
        <f t="shared" si="88"/>
        <v>0</v>
      </c>
      <c r="I67" s="100">
        <f t="shared" si="88"/>
        <v>0</v>
      </c>
      <c r="J67" s="100">
        <f t="shared" si="88"/>
        <v>0</v>
      </c>
      <c r="K67" s="100">
        <f t="shared" si="88"/>
        <v>0</v>
      </c>
      <c r="L67" s="99" t="s">
        <v>83</v>
      </c>
      <c r="M67" s="100">
        <f t="shared" si="88"/>
        <v>0</v>
      </c>
      <c r="N67" s="100">
        <f t="shared" si="88"/>
        <v>0</v>
      </c>
      <c r="O67" s="100">
        <f t="shared" si="88"/>
        <v>1993286</v>
      </c>
      <c r="P67" s="100">
        <f t="shared" si="88"/>
        <v>1993286</v>
      </c>
      <c r="Q67" s="100">
        <f t="shared" si="88"/>
        <v>0</v>
      </c>
      <c r="R67" s="100">
        <f t="shared" si="88"/>
        <v>1993286</v>
      </c>
      <c r="S67" s="100">
        <f t="shared" si="88"/>
        <v>0</v>
      </c>
      <c r="T67" s="100">
        <f t="shared" si="88"/>
        <v>1993286</v>
      </c>
      <c r="U67" s="100">
        <f t="shared" si="88"/>
        <v>0</v>
      </c>
      <c r="V67" s="100">
        <f t="shared" si="88"/>
        <v>1993286</v>
      </c>
      <c r="W67" s="100">
        <f t="shared" si="88"/>
        <v>0</v>
      </c>
      <c r="X67" s="100">
        <f t="shared" si="88"/>
        <v>1993286</v>
      </c>
      <c r="Y67" s="100">
        <f t="shared" si="88"/>
        <v>0</v>
      </c>
      <c r="Z67" s="100">
        <f t="shared" si="88"/>
        <v>1993286</v>
      </c>
      <c r="AA67" s="100">
        <f t="shared" si="88"/>
        <v>0</v>
      </c>
      <c r="AB67" s="100">
        <f t="shared" si="88"/>
        <v>1993286</v>
      </c>
      <c r="AC67" s="100">
        <f t="shared" si="88"/>
        <v>206714</v>
      </c>
      <c r="AD67" s="101">
        <f>AB67/C67</f>
        <v>0.90603909090909096</v>
      </c>
    </row>
    <row r="68" spans="1:30" ht="15.75" thickBot="1">
      <c r="A68" s="97" t="s">
        <v>84</v>
      </c>
      <c r="B68" s="98">
        <f>C68/12</f>
        <v>183333.33333333334</v>
      </c>
      <c r="C68" s="98">
        <v>2200000</v>
      </c>
      <c r="D68" s="98">
        <v>0</v>
      </c>
      <c r="E68" s="98">
        <v>0</v>
      </c>
      <c r="F68" s="98">
        <v>0</v>
      </c>
      <c r="G68" s="98">
        <f>E68+F68</f>
        <v>0</v>
      </c>
      <c r="H68" s="98"/>
      <c r="I68" s="98"/>
      <c r="J68" s="98"/>
      <c r="K68" s="98">
        <f>I68+J68</f>
        <v>0</v>
      </c>
      <c r="L68" s="97" t="s">
        <v>84</v>
      </c>
      <c r="M68" s="98"/>
      <c r="N68" s="98">
        <f>K68+M68</f>
        <v>0</v>
      </c>
      <c r="O68" s="98">
        <v>1993286</v>
      </c>
      <c r="P68" s="98">
        <f>N68+O68</f>
        <v>1993286</v>
      </c>
      <c r="Q68" s="98"/>
      <c r="R68" s="98">
        <f>P68+Q68</f>
        <v>1993286</v>
      </c>
      <c r="S68" s="98"/>
      <c r="T68" s="98">
        <f>R68+S68</f>
        <v>1993286</v>
      </c>
      <c r="U68" s="98"/>
      <c r="V68" s="98">
        <f>T68+U68</f>
        <v>1993286</v>
      </c>
      <c r="W68" s="98"/>
      <c r="X68" s="98">
        <f>V68+W68</f>
        <v>1993286</v>
      </c>
      <c r="Y68" s="98"/>
      <c r="Z68" s="98">
        <f>X68+Y68</f>
        <v>1993286</v>
      </c>
      <c r="AA68" s="98"/>
      <c r="AB68" s="98">
        <f>Z68+AA68</f>
        <v>1993286</v>
      </c>
      <c r="AC68" s="98">
        <f>C68-AB68</f>
        <v>206714</v>
      </c>
      <c r="AD68" s="75">
        <f>AB68/C68</f>
        <v>0.90603909090909096</v>
      </c>
    </row>
    <row r="69" spans="1:30" ht="15.75" thickBot="1">
      <c r="A69" s="90" t="s">
        <v>85</v>
      </c>
      <c r="B69" s="91">
        <f>SUM(B70:B72)</f>
        <v>3333333.3333333335</v>
      </c>
      <c r="C69" s="91">
        <f>SUM(C70:C72)</f>
        <v>40000000</v>
      </c>
      <c r="D69" s="91">
        <f>SUM(D70:D72)</f>
        <v>1531328</v>
      </c>
      <c r="E69" s="91">
        <f t="shared" ref="E69:Q69" si="89">SUM(E70:E72)</f>
        <v>1531328</v>
      </c>
      <c r="F69" s="91">
        <f t="shared" si="89"/>
        <v>325000</v>
      </c>
      <c r="G69" s="91">
        <f t="shared" si="89"/>
        <v>1856328</v>
      </c>
      <c r="H69" s="91">
        <f t="shared" si="89"/>
        <v>2880040</v>
      </c>
      <c r="I69" s="91">
        <f t="shared" si="89"/>
        <v>4736368</v>
      </c>
      <c r="J69" s="91">
        <f t="shared" si="89"/>
        <v>400000</v>
      </c>
      <c r="K69" s="91">
        <f t="shared" si="89"/>
        <v>5136368</v>
      </c>
      <c r="L69" s="90" t="s">
        <v>85</v>
      </c>
      <c r="M69" s="91">
        <f t="shared" si="89"/>
        <v>2388274</v>
      </c>
      <c r="N69" s="91">
        <f t="shared" si="89"/>
        <v>7524642</v>
      </c>
      <c r="O69" s="91">
        <f t="shared" si="89"/>
        <v>1507650</v>
      </c>
      <c r="P69" s="91">
        <f t="shared" si="89"/>
        <v>9032292</v>
      </c>
      <c r="Q69" s="91">
        <f t="shared" si="89"/>
        <v>633100</v>
      </c>
      <c r="R69" s="91">
        <f>P69+Q69</f>
        <v>9665392</v>
      </c>
      <c r="S69" s="91">
        <f>SUM(S70:S72)</f>
        <v>4178030</v>
      </c>
      <c r="T69" s="91">
        <f>R69+S69</f>
        <v>13843422</v>
      </c>
      <c r="U69" s="91">
        <f>SUM(U70:U72)</f>
        <v>1189930</v>
      </c>
      <c r="V69" s="91">
        <f>T69+U69</f>
        <v>15033352</v>
      </c>
      <c r="W69" s="91">
        <f>SUM(W70:W72)</f>
        <v>1695420</v>
      </c>
      <c r="X69" s="91">
        <f>V69+W69</f>
        <v>16728772</v>
      </c>
      <c r="Y69" s="91">
        <f>SUM(Y70:Y72)</f>
        <v>2301790</v>
      </c>
      <c r="Z69" s="91">
        <f>SUM(Z70:Z72)</f>
        <v>19030562</v>
      </c>
      <c r="AA69" s="91">
        <f t="shared" ref="AA69:AB69" si="90">SUM(AA70:AA72)</f>
        <v>14793000</v>
      </c>
      <c r="AB69" s="91">
        <f t="shared" si="90"/>
        <v>33823562</v>
      </c>
      <c r="AC69" s="91">
        <f>SUM(AC70:AC72)</f>
        <v>6176438</v>
      </c>
      <c r="AD69" s="74">
        <f>AB69/C69</f>
        <v>0.84558904999999995</v>
      </c>
    </row>
    <row r="70" spans="1:30">
      <c r="A70" s="22" t="s">
        <v>86</v>
      </c>
      <c r="B70" s="4">
        <f>+C70/12</f>
        <v>1250000</v>
      </c>
      <c r="C70" s="4">
        <v>15000000</v>
      </c>
      <c r="D70" s="4">
        <v>763778</v>
      </c>
      <c r="E70" s="4">
        <f>D70</f>
        <v>763778</v>
      </c>
      <c r="F70" s="4">
        <v>0</v>
      </c>
      <c r="G70" s="4">
        <f>E70+F70</f>
        <v>763778</v>
      </c>
      <c r="H70" s="4">
        <v>600000</v>
      </c>
      <c r="I70" s="4">
        <f>G70+H70</f>
        <v>1363778</v>
      </c>
      <c r="J70" s="4"/>
      <c r="K70" s="4">
        <f>I70+J70</f>
        <v>1363778</v>
      </c>
      <c r="L70" s="22" t="s">
        <v>86</v>
      </c>
      <c r="M70" s="4">
        <v>2316874</v>
      </c>
      <c r="N70" s="4">
        <f>K70+M70</f>
        <v>3680652</v>
      </c>
      <c r="O70" s="4"/>
      <c r="P70" s="4">
        <f>N70+O70</f>
        <v>3680652</v>
      </c>
      <c r="Q70" s="4">
        <v>50000</v>
      </c>
      <c r="R70" s="4">
        <f>P70+Q70</f>
        <v>3730652</v>
      </c>
      <c r="S70" s="4">
        <v>819580</v>
      </c>
      <c r="T70" s="4">
        <f>R70+S70</f>
        <v>4550232</v>
      </c>
      <c r="U70" s="4">
        <v>60000</v>
      </c>
      <c r="V70" s="4">
        <f>T70+U70</f>
        <v>4610232</v>
      </c>
      <c r="W70" s="4">
        <v>735420</v>
      </c>
      <c r="X70" s="4">
        <f>V70+W70</f>
        <v>5345652</v>
      </c>
      <c r="Y70" s="4"/>
      <c r="Z70" s="4">
        <f>X70+Y70</f>
        <v>5345652</v>
      </c>
      <c r="AA70" s="4">
        <v>9427500</v>
      </c>
      <c r="AB70" s="4">
        <f>Z70+AA70</f>
        <v>14773152</v>
      </c>
      <c r="AC70" s="4">
        <f>C70-AB70</f>
        <v>226848</v>
      </c>
      <c r="AD70" s="75">
        <f>AB70/C70</f>
        <v>0.9848768</v>
      </c>
    </row>
    <row r="71" spans="1:30">
      <c r="A71" s="23" t="s">
        <v>87</v>
      </c>
      <c r="B71" s="4">
        <f>C71/12</f>
        <v>833333.33333333337</v>
      </c>
      <c r="C71" s="4">
        <v>10000000</v>
      </c>
      <c r="D71" s="4">
        <v>767550</v>
      </c>
      <c r="E71" s="4">
        <f>D71</f>
        <v>767550</v>
      </c>
      <c r="F71" s="4">
        <v>0</v>
      </c>
      <c r="G71" s="4">
        <f t="shared" ref="G71:G72" si="91">E71+F71</f>
        <v>767550</v>
      </c>
      <c r="H71" s="4">
        <v>2280040</v>
      </c>
      <c r="I71" s="4">
        <f t="shared" ref="I71:I72" si="92">G71+H71</f>
        <v>3047590</v>
      </c>
      <c r="J71" s="4"/>
      <c r="K71" s="4">
        <f t="shared" ref="K71:K72" si="93">I71+J71</f>
        <v>3047590</v>
      </c>
      <c r="L71" s="23" t="s">
        <v>87</v>
      </c>
      <c r="M71" s="4">
        <v>71400</v>
      </c>
      <c r="N71" s="4">
        <f t="shared" ref="N71:N72" si="94">K71+M71</f>
        <v>3118990</v>
      </c>
      <c r="O71" s="4">
        <v>1507650</v>
      </c>
      <c r="P71" s="4">
        <f t="shared" ref="P71:P72" si="95">N71+O71</f>
        <v>4626640</v>
      </c>
      <c r="Q71" s="4">
        <v>583100</v>
      </c>
      <c r="R71" s="4">
        <f t="shared" ref="R71:R72" si="96">P71+Q71</f>
        <v>5209740</v>
      </c>
      <c r="S71" s="4">
        <v>755650</v>
      </c>
      <c r="T71" s="4">
        <f t="shared" ref="T71:T72" si="97">R71+S71</f>
        <v>5965390</v>
      </c>
      <c r="U71" s="4">
        <v>769930</v>
      </c>
      <c r="V71" s="4">
        <f>T71+U71</f>
        <v>6735320</v>
      </c>
      <c r="W71" s="4"/>
      <c r="X71" s="4">
        <f t="shared" ref="X71:X72" si="98">V71+W71</f>
        <v>6735320</v>
      </c>
      <c r="Y71" s="4">
        <v>2301790</v>
      </c>
      <c r="Z71" s="4">
        <f t="shared" ref="Z71:Z72" si="99">X71+Y71</f>
        <v>9037110</v>
      </c>
      <c r="AA71" s="4">
        <v>0</v>
      </c>
      <c r="AB71" s="4">
        <f t="shared" ref="AB71:AB72" si="100">Z71+AA71</f>
        <v>9037110</v>
      </c>
      <c r="AC71" s="4">
        <f t="shared" ref="AC71:AC72" si="101">C71-AB71</f>
        <v>962890</v>
      </c>
      <c r="AD71" s="75">
        <f t="shared" ref="AD71:AD72" si="102">AB71/C71</f>
        <v>0.90371100000000004</v>
      </c>
    </row>
    <row r="72" spans="1:30" ht="15.75" thickBot="1">
      <c r="A72" s="23" t="s">
        <v>88</v>
      </c>
      <c r="B72" s="6">
        <f>C72/12</f>
        <v>1250000</v>
      </c>
      <c r="C72" s="6">
        <v>15000000</v>
      </c>
      <c r="D72" s="6">
        <v>0</v>
      </c>
      <c r="E72" s="6">
        <v>0</v>
      </c>
      <c r="F72" s="6">
        <v>325000</v>
      </c>
      <c r="G72" s="4">
        <f t="shared" si="91"/>
        <v>325000</v>
      </c>
      <c r="H72" s="4">
        <v>0</v>
      </c>
      <c r="I72" s="4">
        <f t="shared" si="92"/>
        <v>325000</v>
      </c>
      <c r="J72" s="4">
        <v>400000</v>
      </c>
      <c r="K72" s="4">
        <f t="shared" si="93"/>
        <v>725000</v>
      </c>
      <c r="L72" s="23" t="s">
        <v>88</v>
      </c>
      <c r="M72" s="4"/>
      <c r="N72" s="4">
        <f t="shared" si="94"/>
        <v>725000</v>
      </c>
      <c r="O72" s="4"/>
      <c r="P72" s="4">
        <f t="shared" si="95"/>
        <v>725000</v>
      </c>
      <c r="Q72" s="4"/>
      <c r="R72" s="4">
        <f t="shared" si="96"/>
        <v>725000</v>
      </c>
      <c r="S72" s="4">
        <v>2602800</v>
      </c>
      <c r="T72" s="4">
        <f t="shared" si="97"/>
        <v>3327800</v>
      </c>
      <c r="U72" s="4">
        <v>360000</v>
      </c>
      <c r="V72" s="4">
        <f>T72+U72</f>
        <v>3687800</v>
      </c>
      <c r="W72" s="4">
        <v>960000</v>
      </c>
      <c r="X72" s="4">
        <f t="shared" si="98"/>
        <v>4647800</v>
      </c>
      <c r="Y72" s="4"/>
      <c r="Z72" s="4">
        <f t="shared" si="99"/>
        <v>4647800</v>
      </c>
      <c r="AA72" s="4">
        <v>5365500</v>
      </c>
      <c r="AB72" s="4">
        <f t="shared" si="100"/>
        <v>10013300</v>
      </c>
      <c r="AC72" s="4">
        <f t="shared" si="101"/>
        <v>4986700</v>
      </c>
      <c r="AD72" s="75">
        <f t="shared" si="102"/>
        <v>0.66755333333333333</v>
      </c>
    </row>
    <row r="73" spans="1:30" ht="15.75" thickBot="1">
      <c r="A73" s="34" t="s">
        <v>89</v>
      </c>
      <c r="B73" s="35">
        <f>SUM(B74:B75)</f>
        <v>916666.66666666674</v>
      </c>
      <c r="C73" s="35">
        <f>SUM(C74:C75)</f>
        <v>11000000</v>
      </c>
      <c r="D73" s="35">
        <f t="shared" ref="D73:E73" si="103">SUM(D74:D75)</f>
        <v>795000</v>
      </c>
      <c r="E73" s="35">
        <f t="shared" si="103"/>
        <v>795000</v>
      </c>
      <c r="F73" s="35">
        <f t="shared" ref="F73" si="104">SUM(F74:F75)</f>
        <v>0</v>
      </c>
      <c r="G73" s="35">
        <f t="shared" ref="G73:AB73" si="105">SUM(G74:G75)</f>
        <v>795000</v>
      </c>
      <c r="H73" s="35">
        <f t="shared" si="105"/>
        <v>0</v>
      </c>
      <c r="I73" s="35">
        <f t="shared" si="105"/>
        <v>795000</v>
      </c>
      <c r="J73" s="35">
        <f t="shared" si="105"/>
        <v>0</v>
      </c>
      <c r="K73" s="35">
        <f t="shared" si="105"/>
        <v>795000</v>
      </c>
      <c r="L73" s="34" t="s">
        <v>89</v>
      </c>
      <c r="M73" s="35">
        <f t="shared" si="105"/>
        <v>150000</v>
      </c>
      <c r="N73" s="35">
        <f t="shared" si="105"/>
        <v>945000</v>
      </c>
      <c r="O73" s="35">
        <f t="shared" si="105"/>
        <v>0</v>
      </c>
      <c r="P73" s="35">
        <f t="shared" si="105"/>
        <v>945000</v>
      </c>
      <c r="Q73" s="35">
        <f t="shared" si="105"/>
        <v>0</v>
      </c>
      <c r="R73" s="35">
        <f t="shared" si="105"/>
        <v>945000</v>
      </c>
      <c r="S73" s="35">
        <f t="shared" si="105"/>
        <v>66690</v>
      </c>
      <c r="T73" s="35">
        <f t="shared" si="105"/>
        <v>1011690</v>
      </c>
      <c r="U73" s="35">
        <f t="shared" si="105"/>
        <v>0</v>
      </c>
      <c r="V73" s="35">
        <f t="shared" si="105"/>
        <v>1011690</v>
      </c>
      <c r="W73" s="35">
        <f t="shared" si="105"/>
        <v>0</v>
      </c>
      <c r="X73" s="35">
        <f t="shared" si="105"/>
        <v>1011690</v>
      </c>
      <c r="Y73" s="35">
        <f t="shared" si="105"/>
        <v>0</v>
      </c>
      <c r="Z73" s="35">
        <f t="shared" si="105"/>
        <v>1011690</v>
      </c>
      <c r="AA73" s="35">
        <f t="shared" si="105"/>
        <v>0</v>
      </c>
      <c r="AB73" s="35">
        <f t="shared" si="105"/>
        <v>1011690</v>
      </c>
      <c r="AC73" s="35">
        <f>SUM(AC74:AC75)</f>
        <v>9988310</v>
      </c>
      <c r="AD73" s="74">
        <f>V73/C73</f>
        <v>9.1971818181818182E-2</v>
      </c>
    </row>
    <row r="74" spans="1:30">
      <c r="A74" s="22" t="s">
        <v>90</v>
      </c>
      <c r="B74" s="4">
        <f>C74/12</f>
        <v>416666.66666666669</v>
      </c>
      <c r="C74" s="4">
        <v>5000000</v>
      </c>
      <c r="D74" s="4">
        <v>0</v>
      </c>
      <c r="E74" s="4">
        <f>D74</f>
        <v>0</v>
      </c>
      <c r="F74" s="4">
        <v>0</v>
      </c>
      <c r="G74" s="4">
        <f>E74+F74</f>
        <v>0</v>
      </c>
      <c r="H74" s="4">
        <v>0</v>
      </c>
      <c r="I74" s="4">
        <f>G74+H74</f>
        <v>0</v>
      </c>
      <c r="J74" s="4"/>
      <c r="K74" s="4">
        <f>I74+J74</f>
        <v>0</v>
      </c>
      <c r="L74" s="22" t="s">
        <v>90</v>
      </c>
      <c r="M74" s="4"/>
      <c r="N74" s="4">
        <f>K74+M74</f>
        <v>0</v>
      </c>
      <c r="O74" s="4"/>
      <c r="P74" s="4">
        <f>N74+O74</f>
        <v>0</v>
      </c>
      <c r="Q74" s="4"/>
      <c r="R74" s="4">
        <f>P74+Q74</f>
        <v>0</v>
      </c>
      <c r="S74" s="4"/>
      <c r="T74" s="4">
        <f>R74+S74</f>
        <v>0</v>
      </c>
      <c r="U74" s="4"/>
      <c r="V74" s="4">
        <f>T74+U74</f>
        <v>0</v>
      </c>
      <c r="W74" s="4"/>
      <c r="X74" s="4">
        <f>V74+W74</f>
        <v>0</v>
      </c>
      <c r="Y74" s="4"/>
      <c r="Z74" s="4">
        <f>X74+Y74</f>
        <v>0</v>
      </c>
      <c r="AA74" s="4"/>
      <c r="AB74" s="4">
        <f>Z74+AA74</f>
        <v>0</v>
      </c>
      <c r="AC74" s="4">
        <f>C74-AB74</f>
        <v>5000000</v>
      </c>
      <c r="AD74" s="75">
        <f t="shared" ref="AD74:AD84" si="106">AB74/C74</f>
        <v>0</v>
      </c>
    </row>
    <row r="75" spans="1:30" ht="15.75" thickBot="1">
      <c r="A75" s="24" t="s">
        <v>91</v>
      </c>
      <c r="B75" s="4">
        <f>C75/12</f>
        <v>500000</v>
      </c>
      <c r="C75" s="4">
        <v>6000000</v>
      </c>
      <c r="D75" s="4">
        <v>795000</v>
      </c>
      <c r="E75" s="4">
        <f>D75</f>
        <v>795000</v>
      </c>
      <c r="F75" s="4">
        <v>0</v>
      </c>
      <c r="G75" s="4">
        <f>E75+F75</f>
        <v>795000</v>
      </c>
      <c r="H75" s="4">
        <v>0</v>
      </c>
      <c r="I75" s="4">
        <f>G75+H75</f>
        <v>795000</v>
      </c>
      <c r="J75" s="4"/>
      <c r="K75" s="4">
        <f>I75+J75</f>
        <v>795000</v>
      </c>
      <c r="L75" s="24" t="s">
        <v>91</v>
      </c>
      <c r="M75" s="4">
        <v>150000</v>
      </c>
      <c r="N75" s="4">
        <f>K75+M75</f>
        <v>945000</v>
      </c>
      <c r="O75" s="4">
        <v>0</v>
      </c>
      <c r="P75" s="4">
        <f>N75+O75</f>
        <v>945000</v>
      </c>
      <c r="Q75" s="4"/>
      <c r="R75" s="4">
        <f>P75+Q75</f>
        <v>945000</v>
      </c>
      <c r="S75" s="4">
        <v>66690</v>
      </c>
      <c r="T75" s="4">
        <f>R75+S75</f>
        <v>1011690</v>
      </c>
      <c r="U75" s="4"/>
      <c r="V75" s="4">
        <f>T75+U75</f>
        <v>1011690</v>
      </c>
      <c r="W75" s="4"/>
      <c r="X75" s="4">
        <f>V75+W75</f>
        <v>1011690</v>
      </c>
      <c r="Y75" s="4"/>
      <c r="Z75" s="4">
        <f>X75+Y75</f>
        <v>1011690</v>
      </c>
      <c r="AA75" s="4"/>
      <c r="AB75" s="4">
        <f>Z75+AA75</f>
        <v>1011690</v>
      </c>
      <c r="AC75" s="4">
        <f>C75-AB75</f>
        <v>4988310</v>
      </c>
      <c r="AD75" s="75">
        <f t="shared" si="106"/>
        <v>0.16861499999999999</v>
      </c>
    </row>
    <row r="76" spans="1:30" ht="15.75" thickBot="1">
      <c r="A76" s="36" t="s">
        <v>92</v>
      </c>
      <c r="B76" s="37">
        <f>+B77</f>
        <v>291666.66666666669</v>
      </c>
      <c r="C76" s="37">
        <f>+C77</f>
        <v>3500000</v>
      </c>
      <c r="D76" s="37">
        <f t="shared" ref="D76:AC76" si="107">+D77</f>
        <v>0</v>
      </c>
      <c r="E76" s="37">
        <f t="shared" si="107"/>
        <v>0</v>
      </c>
      <c r="F76" s="37">
        <f t="shared" si="107"/>
        <v>0</v>
      </c>
      <c r="G76" s="37">
        <f t="shared" si="107"/>
        <v>0</v>
      </c>
      <c r="H76" s="37">
        <f t="shared" si="107"/>
        <v>0</v>
      </c>
      <c r="I76" s="37">
        <f t="shared" si="107"/>
        <v>0</v>
      </c>
      <c r="J76" s="37">
        <f t="shared" si="107"/>
        <v>0</v>
      </c>
      <c r="K76" s="37">
        <f t="shared" si="107"/>
        <v>0</v>
      </c>
      <c r="L76" s="36" t="s">
        <v>92</v>
      </c>
      <c r="M76" s="37">
        <f t="shared" si="107"/>
        <v>0</v>
      </c>
      <c r="N76" s="37">
        <f t="shared" si="107"/>
        <v>0</v>
      </c>
      <c r="O76" s="37">
        <f t="shared" si="107"/>
        <v>0</v>
      </c>
      <c r="P76" s="37">
        <f t="shared" si="107"/>
        <v>0</v>
      </c>
      <c r="Q76" s="37">
        <f t="shared" si="107"/>
        <v>0</v>
      </c>
      <c r="R76" s="37">
        <f t="shared" si="107"/>
        <v>0</v>
      </c>
      <c r="S76" s="37">
        <f t="shared" si="107"/>
        <v>0</v>
      </c>
      <c r="T76" s="37">
        <f t="shared" si="107"/>
        <v>0</v>
      </c>
      <c r="U76" s="37">
        <f t="shared" si="107"/>
        <v>0</v>
      </c>
      <c r="V76" s="37">
        <f t="shared" si="107"/>
        <v>0</v>
      </c>
      <c r="W76" s="37">
        <f t="shared" si="107"/>
        <v>0</v>
      </c>
      <c r="X76" s="37">
        <f t="shared" si="107"/>
        <v>0</v>
      </c>
      <c r="Y76" s="37"/>
      <c r="Z76" s="37"/>
      <c r="AA76" s="37">
        <f>AA77</f>
        <v>600000</v>
      </c>
      <c r="AB76" s="37">
        <f>AB77</f>
        <v>600000</v>
      </c>
      <c r="AC76" s="37">
        <f t="shared" si="107"/>
        <v>2900000</v>
      </c>
      <c r="AD76" s="74">
        <f t="shared" si="106"/>
        <v>0.17142857142857143</v>
      </c>
    </row>
    <row r="77" spans="1:30" ht="15.75" thickBot="1">
      <c r="A77" s="38" t="s">
        <v>93</v>
      </c>
      <c r="B77" s="39">
        <f>C77/12</f>
        <v>291666.66666666669</v>
      </c>
      <c r="C77" s="39">
        <v>3500000</v>
      </c>
      <c r="D77" s="39">
        <v>0</v>
      </c>
      <c r="E77" s="39">
        <f>D77</f>
        <v>0</v>
      </c>
      <c r="F77" s="39">
        <v>0</v>
      </c>
      <c r="G77" s="39">
        <f>E77+F77</f>
        <v>0</v>
      </c>
      <c r="H77" s="39"/>
      <c r="I77" s="39">
        <f>G77+H77</f>
        <v>0</v>
      </c>
      <c r="J77" s="39"/>
      <c r="K77" s="39">
        <f>I77+J77</f>
        <v>0</v>
      </c>
      <c r="L77" s="38" t="s">
        <v>93</v>
      </c>
      <c r="M77" s="39"/>
      <c r="N77" s="39">
        <f>K77+M77</f>
        <v>0</v>
      </c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>
        <v>600000</v>
      </c>
      <c r="AB77" s="39">
        <f>Z77+AA77</f>
        <v>600000</v>
      </c>
      <c r="AC77" s="39">
        <f>C77-AB77</f>
        <v>2900000</v>
      </c>
      <c r="AD77" s="75">
        <f t="shared" si="106"/>
        <v>0.17142857142857143</v>
      </c>
    </row>
    <row r="78" spans="1:30" ht="15.75" thickBot="1">
      <c r="A78" s="40" t="s">
        <v>94</v>
      </c>
      <c r="B78" s="41">
        <f>SUM(B79:B80)</f>
        <v>1850000</v>
      </c>
      <c r="C78" s="41">
        <f>SUM(C79:C80)</f>
        <v>22200000</v>
      </c>
      <c r="D78" s="41">
        <f t="shared" ref="D78:E78" si="108">SUM(D79:D80)</f>
        <v>1779061</v>
      </c>
      <c r="E78" s="41">
        <f t="shared" si="108"/>
        <v>1779061</v>
      </c>
      <c r="F78" s="41">
        <f t="shared" ref="F78" si="109">SUM(F79:F80)</f>
        <v>1765627</v>
      </c>
      <c r="G78" s="41">
        <f t="shared" ref="G78:W78" si="110">SUM(G79:G80)</f>
        <v>3544688</v>
      </c>
      <c r="H78" s="41">
        <f t="shared" si="110"/>
        <v>1954500</v>
      </c>
      <c r="I78" s="41">
        <f t="shared" si="110"/>
        <v>5499188</v>
      </c>
      <c r="J78" s="41">
        <f t="shared" si="110"/>
        <v>1954500</v>
      </c>
      <c r="K78" s="41">
        <f t="shared" si="110"/>
        <v>7453688</v>
      </c>
      <c r="L78" s="40" t="s">
        <v>94</v>
      </c>
      <c r="M78" s="41">
        <f t="shared" si="110"/>
        <v>1954500</v>
      </c>
      <c r="N78" s="41">
        <f t="shared" si="110"/>
        <v>9408188</v>
      </c>
      <c r="O78" s="41">
        <f t="shared" si="110"/>
        <v>1954500</v>
      </c>
      <c r="P78" s="41">
        <f t="shared" si="110"/>
        <v>11362688</v>
      </c>
      <c r="Q78" s="41">
        <f t="shared" si="110"/>
        <v>1954500</v>
      </c>
      <c r="R78" s="41">
        <f t="shared" si="110"/>
        <v>13317188</v>
      </c>
      <c r="S78" s="41">
        <f t="shared" si="110"/>
        <v>1952275</v>
      </c>
      <c r="T78" s="41">
        <f t="shared" si="110"/>
        <v>15269463</v>
      </c>
      <c r="U78" s="41">
        <f t="shared" si="110"/>
        <v>1950050</v>
      </c>
      <c r="V78" s="41">
        <f t="shared" si="110"/>
        <v>17219513</v>
      </c>
      <c r="W78" s="41">
        <f t="shared" si="110"/>
        <v>1976174</v>
      </c>
      <c r="X78" s="41">
        <f>SUM(X79:X80)</f>
        <v>19195687</v>
      </c>
      <c r="Y78" s="41">
        <f t="shared" ref="Y78:AB78" si="111">SUM(Y79:Y80)</f>
        <v>1971457</v>
      </c>
      <c r="Z78" s="41">
        <f t="shared" si="111"/>
        <v>21167144</v>
      </c>
      <c r="AA78" s="41">
        <f t="shared" si="111"/>
        <v>2865306</v>
      </c>
      <c r="AB78" s="41">
        <f t="shared" si="111"/>
        <v>24032450</v>
      </c>
      <c r="AC78" s="41">
        <f>SUM(AC79:AC80)</f>
        <v>-1832450</v>
      </c>
      <c r="AD78" s="74">
        <f t="shared" si="106"/>
        <v>1.0825427927927929</v>
      </c>
    </row>
    <row r="79" spans="1:30">
      <c r="A79" s="22" t="s">
        <v>87</v>
      </c>
      <c r="B79" s="6">
        <f>C79/12</f>
        <v>1033333.3333333334</v>
      </c>
      <c r="C79" s="6">
        <v>12400000</v>
      </c>
      <c r="D79" s="6">
        <v>1160996</v>
      </c>
      <c r="E79" s="6">
        <f>D79</f>
        <v>1160996</v>
      </c>
      <c r="F79" s="6">
        <v>1160996</v>
      </c>
      <c r="G79" s="6">
        <f>E79+F79</f>
        <v>2321992</v>
      </c>
      <c r="H79" s="6">
        <v>1185193</v>
      </c>
      <c r="I79" s="6">
        <f>G79+H79</f>
        <v>3507185</v>
      </c>
      <c r="J79" s="6">
        <v>1185193</v>
      </c>
      <c r="K79" s="6">
        <f>I79+J79</f>
        <v>4692378</v>
      </c>
      <c r="L79" s="22" t="s">
        <v>87</v>
      </c>
      <c r="M79" s="6">
        <v>1185193</v>
      </c>
      <c r="N79" s="6">
        <f>K79+M79</f>
        <v>5877571</v>
      </c>
      <c r="O79" s="6">
        <v>1185193</v>
      </c>
      <c r="P79" s="6">
        <f>N79+O79</f>
        <v>7062764</v>
      </c>
      <c r="Q79" s="6">
        <v>1185193</v>
      </c>
      <c r="R79" s="6">
        <f>P79+Q79</f>
        <v>8247957</v>
      </c>
      <c r="S79" s="6">
        <v>1182968</v>
      </c>
      <c r="T79" s="6">
        <f>R79+S79</f>
        <v>9430925</v>
      </c>
      <c r="U79" s="6">
        <v>1180743</v>
      </c>
      <c r="V79" s="6">
        <f>T79+U79</f>
        <v>10611668</v>
      </c>
      <c r="W79" s="6">
        <v>1206867</v>
      </c>
      <c r="X79" s="6">
        <f>V79+W79</f>
        <v>11818535</v>
      </c>
      <c r="Y79" s="6">
        <v>1202150</v>
      </c>
      <c r="Z79" s="6">
        <f>X79+Y79</f>
        <v>13020685</v>
      </c>
      <c r="AA79" s="6">
        <v>1633641</v>
      </c>
      <c r="AB79" s="6">
        <f>Z79+AA79</f>
        <v>14654326</v>
      </c>
      <c r="AC79" s="6">
        <f>C79-AB79</f>
        <v>-2254326</v>
      </c>
      <c r="AD79" s="75">
        <f t="shared" si="106"/>
        <v>1.1818004838709677</v>
      </c>
    </row>
    <row r="80" spans="1:30" ht="15.75" thickBot="1">
      <c r="A80" s="23" t="s">
        <v>95</v>
      </c>
      <c r="B80" s="6">
        <f>C80/12</f>
        <v>816666.66666666663</v>
      </c>
      <c r="C80" s="6">
        <v>9800000</v>
      </c>
      <c r="D80" s="6">
        <v>618065</v>
      </c>
      <c r="E80" s="6">
        <f>D80</f>
        <v>618065</v>
      </c>
      <c r="F80" s="6">
        <v>604631</v>
      </c>
      <c r="G80" s="6">
        <f>E80+F80</f>
        <v>1222696</v>
      </c>
      <c r="H80" s="6">
        <v>769307</v>
      </c>
      <c r="I80" s="6">
        <f>G80+H80</f>
        <v>1992003</v>
      </c>
      <c r="J80" s="6">
        <v>769307</v>
      </c>
      <c r="K80" s="6">
        <f>I80+J80</f>
        <v>2761310</v>
      </c>
      <c r="L80" s="23" t="s">
        <v>95</v>
      </c>
      <c r="M80" s="6">
        <v>769307</v>
      </c>
      <c r="N80" s="6">
        <f>K80+M80</f>
        <v>3530617</v>
      </c>
      <c r="O80" s="6">
        <v>769307</v>
      </c>
      <c r="P80" s="6">
        <f>N80+O80</f>
        <v>4299924</v>
      </c>
      <c r="Q80" s="6">
        <v>769307</v>
      </c>
      <c r="R80" s="6">
        <f>P80+Q80</f>
        <v>5069231</v>
      </c>
      <c r="S80" s="6">
        <v>769307</v>
      </c>
      <c r="T80" s="6">
        <f>R80+S80</f>
        <v>5838538</v>
      </c>
      <c r="U80" s="6">
        <v>769307</v>
      </c>
      <c r="V80" s="6">
        <f>T80+U80</f>
        <v>6607845</v>
      </c>
      <c r="W80" s="6">
        <v>769307</v>
      </c>
      <c r="X80" s="6">
        <f>V80+W80</f>
        <v>7377152</v>
      </c>
      <c r="Y80" s="6">
        <v>769307</v>
      </c>
      <c r="Z80" s="6">
        <f>X80+Y80</f>
        <v>8146459</v>
      </c>
      <c r="AA80" s="6">
        <v>1231665</v>
      </c>
      <c r="AB80" s="6">
        <f>Z80+AA80</f>
        <v>9378124</v>
      </c>
      <c r="AC80" s="6">
        <f>C80-AB80</f>
        <v>421876</v>
      </c>
      <c r="AD80" s="75">
        <f t="shared" si="106"/>
        <v>0.95695142857142856</v>
      </c>
    </row>
    <row r="81" spans="1:32" ht="15.75" thickBot="1">
      <c r="A81" s="40" t="s">
        <v>96</v>
      </c>
      <c r="B81" s="63">
        <f>+B82</f>
        <v>721416.66666666663</v>
      </c>
      <c r="C81" s="63">
        <f>+C82</f>
        <v>8657000</v>
      </c>
      <c r="D81" s="63">
        <f t="shared" ref="D81:E81" si="112">+D82</f>
        <v>721428</v>
      </c>
      <c r="E81" s="63">
        <f t="shared" si="112"/>
        <v>721428</v>
      </c>
      <c r="F81" s="63">
        <f t="shared" ref="F81" si="113">+F82</f>
        <v>721428</v>
      </c>
      <c r="G81" s="63">
        <f t="shared" ref="G81:AB81" si="114">+G82</f>
        <v>1442856</v>
      </c>
      <c r="H81" s="63">
        <f t="shared" si="114"/>
        <v>721428</v>
      </c>
      <c r="I81" s="63">
        <f t="shared" si="114"/>
        <v>2164284</v>
      </c>
      <c r="J81" s="63">
        <f t="shared" si="114"/>
        <v>721428</v>
      </c>
      <c r="K81" s="63">
        <f t="shared" si="114"/>
        <v>2885712</v>
      </c>
      <c r="L81" s="40" t="s">
        <v>96</v>
      </c>
      <c r="M81" s="63">
        <f t="shared" si="114"/>
        <v>721428</v>
      </c>
      <c r="N81" s="63">
        <f t="shared" si="114"/>
        <v>3607140</v>
      </c>
      <c r="O81" s="63">
        <f t="shared" si="114"/>
        <v>721428</v>
      </c>
      <c r="P81" s="63">
        <f t="shared" si="114"/>
        <v>4328568</v>
      </c>
      <c r="Q81" s="63">
        <f t="shared" si="114"/>
        <v>721428</v>
      </c>
      <c r="R81" s="63">
        <f t="shared" si="114"/>
        <v>5049996</v>
      </c>
      <c r="S81" s="63">
        <f t="shared" si="114"/>
        <v>721428</v>
      </c>
      <c r="T81" s="63">
        <f t="shared" si="114"/>
        <v>5771424</v>
      </c>
      <c r="U81" s="63">
        <f t="shared" si="114"/>
        <v>721428</v>
      </c>
      <c r="V81" s="63">
        <f t="shared" si="114"/>
        <v>6492852</v>
      </c>
      <c r="W81" s="63">
        <f t="shared" si="114"/>
        <v>721428</v>
      </c>
      <c r="X81" s="63">
        <f t="shared" si="114"/>
        <v>7214280</v>
      </c>
      <c r="Y81" s="63">
        <f t="shared" si="114"/>
        <v>721425</v>
      </c>
      <c r="Z81" s="63">
        <f t="shared" si="114"/>
        <v>7935705</v>
      </c>
      <c r="AA81" s="63">
        <f t="shared" si="114"/>
        <v>666666</v>
      </c>
      <c r="AB81" s="63">
        <f t="shared" si="114"/>
        <v>8602371</v>
      </c>
      <c r="AC81" s="63">
        <f>+AC82</f>
        <v>54629</v>
      </c>
      <c r="AD81" s="74">
        <f t="shared" si="106"/>
        <v>0.99368961534018718</v>
      </c>
    </row>
    <row r="82" spans="1:32" ht="15.75" thickBot="1">
      <c r="A82" s="22" t="s">
        <v>97</v>
      </c>
      <c r="B82" s="32">
        <f>C82/12</f>
        <v>721416.66666666663</v>
      </c>
      <c r="C82" s="32">
        <v>8657000</v>
      </c>
      <c r="D82" s="32">
        <v>721428</v>
      </c>
      <c r="E82" s="32">
        <f>D82</f>
        <v>721428</v>
      </c>
      <c r="F82" s="32">
        <v>721428</v>
      </c>
      <c r="G82" s="32">
        <f>E82+F82</f>
        <v>1442856</v>
      </c>
      <c r="H82" s="32">
        <f>2164284-1442856</f>
        <v>721428</v>
      </c>
      <c r="I82" s="32">
        <f>G82+H82</f>
        <v>2164284</v>
      </c>
      <c r="J82" s="32">
        <f>2885712-I82</f>
        <v>721428</v>
      </c>
      <c r="K82" s="32">
        <f>I82+J82</f>
        <v>2885712</v>
      </c>
      <c r="L82" s="22" t="s">
        <v>97</v>
      </c>
      <c r="M82" s="32">
        <v>721428</v>
      </c>
      <c r="N82" s="32">
        <f>K82+M82</f>
        <v>3607140</v>
      </c>
      <c r="O82" s="32">
        <v>721428</v>
      </c>
      <c r="P82" s="32">
        <f>N82+O82</f>
        <v>4328568</v>
      </c>
      <c r="Q82" s="32">
        <v>721428</v>
      </c>
      <c r="R82" s="32">
        <f>P82+Q82</f>
        <v>5049996</v>
      </c>
      <c r="S82" s="32">
        <v>721428</v>
      </c>
      <c r="T82" s="32">
        <f>R82+S82</f>
        <v>5771424</v>
      </c>
      <c r="U82" s="32">
        <v>721428</v>
      </c>
      <c r="V82" s="32">
        <f>T82+U82</f>
        <v>6492852</v>
      </c>
      <c r="W82" s="32">
        <v>721428</v>
      </c>
      <c r="X82" s="32">
        <f>V82+W82</f>
        <v>7214280</v>
      </c>
      <c r="Y82" s="32">
        <v>721425</v>
      </c>
      <c r="Z82" s="32">
        <f>X82+Y82</f>
        <v>7935705</v>
      </c>
      <c r="AA82" s="32">
        <v>666666</v>
      </c>
      <c r="AB82" s="32">
        <f>Z82+AA82</f>
        <v>8602371</v>
      </c>
      <c r="AC82" s="32">
        <f>C82-AB82</f>
        <v>54629</v>
      </c>
      <c r="AD82" s="75">
        <f t="shared" si="106"/>
        <v>0.99368961534018718</v>
      </c>
    </row>
    <row r="83" spans="1:32" ht="15.75" thickBot="1">
      <c r="A83" s="40" t="s">
        <v>98</v>
      </c>
      <c r="B83" s="64">
        <f>SUM(B84:B90)</f>
        <v>8178833.333333334</v>
      </c>
      <c r="C83" s="65">
        <f>SUM(C84:C90)</f>
        <v>98146000</v>
      </c>
      <c r="D83" s="65">
        <f>SUM(D84:D90)</f>
        <v>1676681</v>
      </c>
      <c r="E83" s="65">
        <f t="shared" ref="E83" si="115">SUM(E84:E90)</f>
        <v>1676681</v>
      </c>
      <c r="F83" s="65">
        <f t="shared" ref="F83" si="116">SUM(F84:F90)</f>
        <v>688476</v>
      </c>
      <c r="G83" s="65">
        <f t="shared" ref="G83:AC83" si="117">SUM(G84:G90)</f>
        <v>2365157</v>
      </c>
      <c r="H83" s="65">
        <f t="shared" si="117"/>
        <v>5666875</v>
      </c>
      <c r="I83" s="65">
        <f t="shared" si="117"/>
        <v>8032032</v>
      </c>
      <c r="J83" s="65">
        <f t="shared" si="117"/>
        <v>156000</v>
      </c>
      <c r="K83" s="65">
        <f t="shared" si="117"/>
        <v>8188032</v>
      </c>
      <c r="L83" s="40" t="s">
        <v>98</v>
      </c>
      <c r="M83" s="65">
        <f t="shared" si="117"/>
        <v>3780821</v>
      </c>
      <c r="N83" s="65">
        <f t="shared" si="117"/>
        <v>11968853</v>
      </c>
      <c r="O83" s="65">
        <f t="shared" si="117"/>
        <v>34585745</v>
      </c>
      <c r="P83" s="65">
        <f t="shared" si="117"/>
        <v>46554598</v>
      </c>
      <c r="Q83" s="65">
        <f t="shared" si="117"/>
        <v>4357942</v>
      </c>
      <c r="R83" s="65">
        <f t="shared" si="117"/>
        <v>50912540</v>
      </c>
      <c r="S83" s="65">
        <f t="shared" si="117"/>
        <v>4756445</v>
      </c>
      <c r="T83" s="65">
        <f t="shared" si="117"/>
        <v>55668985</v>
      </c>
      <c r="U83" s="65">
        <f t="shared" si="117"/>
        <v>3397964</v>
      </c>
      <c r="V83" s="65">
        <f t="shared" si="117"/>
        <v>59066949</v>
      </c>
      <c r="W83" s="65">
        <f>SUM(W84:W90)</f>
        <v>711409</v>
      </c>
      <c r="X83" s="65">
        <f t="shared" si="117"/>
        <v>59778358</v>
      </c>
      <c r="Y83" s="65">
        <f>SUM(Y84:Y90)</f>
        <v>25073246</v>
      </c>
      <c r="Z83" s="65">
        <f t="shared" si="117"/>
        <v>84851604</v>
      </c>
      <c r="AA83" s="65">
        <f t="shared" si="117"/>
        <v>17022126</v>
      </c>
      <c r="AB83" s="65">
        <f t="shared" si="117"/>
        <v>101873730</v>
      </c>
      <c r="AC83" s="65">
        <f t="shared" si="117"/>
        <v>-3727730</v>
      </c>
      <c r="AD83" s="74">
        <f t="shared" si="106"/>
        <v>1.0379814765757138</v>
      </c>
      <c r="AF83" s="103"/>
    </row>
    <row r="84" spans="1:32">
      <c r="A84" s="23" t="s">
        <v>99</v>
      </c>
      <c r="B84" s="6">
        <f>C84/12</f>
        <v>66666.666666666672</v>
      </c>
      <c r="C84" s="6">
        <v>800000</v>
      </c>
      <c r="D84" s="6">
        <v>560000</v>
      </c>
      <c r="E84" s="6">
        <f>D84</f>
        <v>560000</v>
      </c>
      <c r="F84" s="6">
        <v>0</v>
      </c>
      <c r="G84" s="6">
        <f>E84+F84</f>
        <v>560000</v>
      </c>
      <c r="H84" s="6">
        <v>0</v>
      </c>
      <c r="I84" s="6">
        <f>G84+H84</f>
        <v>560000</v>
      </c>
      <c r="J84" s="6"/>
      <c r="K84" s="6">
        <f>I84+J84</f>
        <v>560000</v>
      </c>
      <c r="L84" s="23" t="s">
        <v>99</v>
      </c>
      <c r="M84" s="6"/>
      <c r="N84" s="6">
        <f>K84+M84</f>
        <v>560000</v>
      </c>
      <c r="O84" s="6"/>
      <c r="P84" s="6">
        <f>N84+O84</f>
        <v>560000</v>
      </c>
      <c r="Q84" s="6"/>
      <c r="R84" s="6">
        <f>P84+Q84</f>
        <v>560000</v>
      </c>
      <c r="S84" s="6">
        <v>155000</v>
      </c>
      <c r="T84" s="6">
        <f>R84+S84</f>
        <v>715000</v>
      </c>
      <c r="U84" s="6"/>
      <c r="V84" s="6">
        <f>T84+U84</f>
        <v>715000</v>
      </c>
      <c r="W84" s="6"/>
      <c r="X84" s="6">
        <f>V84+W84</f>
        <v>715000</v>
      </c>
      <c r="Y84" s="6"/>
      <c r="Z84" s="6">
        <f>X84+Y84</f>
        <v>715000</v>
      </c>
      <c r="AA84" s="6"/>
      <c r="AB84" s="6">
        <f>Z84+AA84</f>
        <v>715000</v>
      </c>
      <c r="AC84" s="6">
        <f>C84-AB84</f>
        <v>85000</v>
      </c>
      <c r="AD84" s="75">
        <f t="shared" si="106"/>
        <v>0.89375000000000004</v>
      </c>
    </row>
    <row r="85" spans="1:32">
      <c r="A85" s="23" t="s">
        <v>100</v>
      </c>
      <c r="B85" s="6">
        <f>C85/12</f>
        <v>675000</v>
      </c>
      <c r="C85" s="6">
        <v>8100000</v>
      </c>
      <c r="D85" s="6">
        <v>120000</v>
      </c>
      <c r="E85" s="6">
        <f t="shared" ref="E85:E90" si="118">D85</f>
        <v>120000</v>
      </c>
      <c r="F85" s="6">
        <v>288469</v>
      </c>
      <c r="G85" s="6">
        <f t="shared" ref="G85:G90" si="119">E85+F85</f>
        <v>408469</v>
      </c>
      <c r="H85" s="6">
        <v>3238858</v>
      </c>
      <c r="I85" s="6">
        <f t="shared" ref="I85:I90" si="120">G85+H85</f>
        <v>3647327</v>
      </c>
      <c r="J85" s="6">
        <f>3803327-I85</f>
        <v>156000</v>
      </c>
      <c r="K85" s="6">
        <f t="shared" ref="K85:K90" si="121">I85+J85</f>
        <v>3803327</v>
      </c>
      <c r="L85" s="23" t="s">
        <v>100</v>
      </c>
      <c r="M85" s="6">
        <v>1386263</v>
      </c>
      <c r="N85" s="6">
        <f t="shared" ref="N85:N90" si="122">K85+M85</f>
        <v>5189590</v>
      </c>
      <c r="O85" s="6">
        <v>120000</v>
      </c>
      <c r="P85" s="6">
        <f t="shared" ref="P85:P90" si="123">N85+O85</f>
        <v>5309590</v>
      </c>
      <c r="Q85" s="6">
        <v>1147670</v>
      </c>
      <c r="R85" s="6">
        <f t="shared" ref="R85:R90" si="124">P85+Q85</f>
        <v>6457260</v>
      </c>
      <c r="S85" s="6">
        <v>132000</v>
      </c>
      <c r="T85" s="6">
        <f t="shared" ref="T85:T90" si="125">R85+S85</f>
        <v>6589260</v>
      </c>
      <c r="U85" s="6">
        <v>2907964</v>
      </c>
      <c r="V85" s="6">
        <f t="shared" ref="V85:V90" si="126">T85+U85</f>
        <v>9497224</v>
      </c>
      <c r="W85" s="6">
        <v>102000</v>
      </c>
      <c r="X85" s="6">
        <f t="shared" ref="X85:X90" si="127">V85+W85</f>
        <v>9599224</v>
      </c>
      <c r="Y85" s="6">
        <v>2167246</v>
      </c>
      <c r="Z85" s="6">
        <f t="shared" ref="Z85:Z90" si="128">X85+Y85</f>
        <v>11766470</v>
      </c>
      <c r="AA85" s="6">
        <v>2625896</v>
      </c>
      <c r="AB85" s="6">
        <f t="shared" ref="AB85:AB90" si="129">Z85+AA85</f>
        <v>14392366</v>
      </c>
      <c r="AC85" s="6">
        <f t="shared" ref="AC85:AC90" si="130">C85-AB85</f>
        <v>-6292366</v>
      </c>
      <c r="AD85" s="75">
        <f t="shared" ref="AD85:AD90" si="131">AB85/C85</f>
        <v>1.7768353086419753</v>
      </c>
    </row>
    <row r="86" spans="1:32">
      <c r="A86" s="23" t="s">
        <v>101</v>
      </c>
      <c r="B86" s="6">
        <f>C86/12</f>
        <v>4270500</v>
      </c>
      <c r="C86" s="6">
        <v>51246000</v>
      </c>
      <c r="D86" s="6">
        <v>0</v>
      </c>
      <c r="E86" s="6">
        <f t="shared" si="118"/>
        <v>0</v>
      </c>
      <c r="F86" s="6">
        <v>0</v>
      </c>
      <c r="G86" s="6">
        <f t="shared" si="119"/>
        <v>0</v>
      </c>
      <c r="H86" s="6">
        <v>1428000</v>
      </c>
      <c r="I86" s="6">
        <f t="shared" si="120"/>
        <v>1428000</v>
      </c>
      <c r="J86" s="6"/>
      <c r="K86" s="6">
        <f t="shared" si="121"/>
        <v>1428000</v>
      </c>
      <c r="L86" s="23" t="s">
        <v>101</v>
      </c>
      <c r="M86" s="6"/>
      <c r="N86" s="6">
        <f t="shared" si="122"/>
        <v>1428000</v>
      </c>
      <c r="O86" s="6">
        <v>34164000</v>
      </c>
      <c r="P86" s="6">
        <f t="shared" si="123"/>
        <v>35592000</v>
      </c>
      <c r="Q86" s="6"/>
      <c r="R86" s="6">
        <f t="shared" si="124"/>
        <v>35592000</v>
      </c>
      <c r="S86" s="6"/>
      <c r="T86" s="6">
        <f t="shared" si="125"/>
        <v>35592000</v>
      </c>
      <c r="U86" s="6"/>
      <c r="V86" s="6">
        <f t="shared" si="126"/>
        <v>35592000</v>
      </c>
      <c r="W86" s="6"/>
      <c r="X86" s="6">
        <f t="shared" si="127"/>
        <v>35592000</v>
      </c>
      <c r="Y86" s="6">
        <v>15654000</v>
      </c>
      <c r="Z86" s="6">
        <f t="shared" si="128"/>
        <v>51246000</v>
      </c>
      <c r="AA86" s="6"/>
      <c r="AB86" s="6">
        <f t="shared" si="129"/>
        <v>51246000</v>
      </c>
      <c r="AC86" s="6">
        <f t="shared" si="130"/>
        <v>0</v>
      </c>
      <c r="AD86" s="75">
        <f t="shared" si="131"/>
        <v>1</v>
      </c>
    </row>
    <row r="87" spans="1:32">
      <c r="A87" s="23" t="s">
        <v>102</v>
      </c>
      <c r="B87" s="6">
        <f>+C87/12</f>
        <v>2500000</v>
      </c>
      <c r="C87" s="6">
        <f>40000000-10000000</f>
        <v>30000000</v>
      </c>
      <c r="D87" s="6">
        <v>430014</v>
      </c>
      <c r="E87" s="6">
        <f t="shared" si="118"/>
        <v>430014</v>
      </c>
      <c r="F87" s="6">
        <v>400007</v>
      </c>
      <c r="G87" s="6">
        <f t="shared" si="119"/>
        <v>830021</v>
      </c>
      <c r="H87" s="6">
        <v>1000017</v>
      </c>
      <c r="I87" s="6">
        <f t="shared" si="120"/>
        <v>1830038</v>
      </c>
      <c r="J87" s="6"/>
      <c r="K87" s="6">
        <f t="shared" si="121"/>
        <v>1830038</v>
      </c>
      <c r="L87" s="23" t="s">
        <v>102</v>
      </c>
      <c r="M87" s="6">
        <v>2394558</v>
      </c>
      <c r="N87" s="6">
        <f t="shared" si="122"/>
        <v>4224596</v>
      </c>
      <c r="O87" s="6"/>
      <c r="P87" s="6">
        <f t="shared" si="123"/>
        <v>4224596</v>
      </c>
      <c r="Q87" s="6">
        <v>2400272</v>
      </c>
      <c r="R87" s="6">
        <f t="shared" si="124"/>
        <v>6624868</v>
      </c>
      <c r="S87" s="6">
        <v>3140445</v>
      </c>
      <c r="T87" s="6">
        <f t="shared" si="125"/>
        <v>9765313</v>
      </c>
      <c r="U87" s="6"/>
      <c r="V87" s="6">
        <f t="shared" si="126"/>
        <v>9765313</v>
      </c>
      <c r="W87" s="6">
        <v>109409</v>
      </c>
      <c r="X87" s="6">
        <f t="shared" si="127"/>
        <v>9874722</v>
      </c>
      <c r="Y87" s="6">
        <v>1125000</v>
      </c>
      <c r="Z87" s="6">
        <f t="shared" si="128"/>
        <v>10999722</v>
      </c>
      <c r="AA87" s="6">
        <v>13916230</v>
      </c>
      <c r="AB87" s="6">
        <f t="shared" si="129"/>
        <v>24915952</v>
      </c>
      <c r="AC87" s="6">
        <f t="shared" si="130"/>
        <v>5084048</v>
      </c>
      <c r="AD87" s="75">
        <f t="shared" si="131"/>
        <v>0.8305317333333333</v>
      </c>
    </row>
    <row r="88" spans="1:32">
      <c r="A88" s="23" t="s">
        <v>103</v>
      </c>
      <c r="B88" s="6">
        <f>+C88/12</f>
        <v>166666.66666666666</v>
      </c>
      <c r="C88" s="6">
        <v>2000000</v>
      </c>
      <c r="D88" s="6">
        <v>0</v>
      </c>
      <c r="E88" s="6">
        <f t="shared" si="118"/>
        <v>0</v>
      </c>
      <c r="F88" s="6">
        <v>0</v>
      </c>
      <c r="G88" s="6">
        <f t="shared" si="119"/>
        <v>0</v>
      </c>
      <c r="H88" s="6">
        <v>0</v>
      </c>
      <c r="I88" s="6">
        <f t="shared" si="120"/>
        <v>0</v>
      </c>
      <c r="J88" s="6"/>
      <c r="K88" s="6">
        <f t="shared" si="121"/>
        <v>0</v>
      </c>
      <c r="L88" s="23" t="s">
        <v>103</v>
      </c>
      <c r="M88" s="6"/>
      <c r="N88" s="6">
        <f t="shared" si="122"/>
        <v>0</v>
      </c>
      <c r="O88" s="6"/>
      <c r="P88" s="6">
        <f t="shared" si="123"/>
        <v>0</v>
      </c>
      <c r="Q88" s="6">
        <v>630000</v>
      </c>
      <c r="R88" s="6">
        <f t="shared" si="124"/>
        <v>630000</v>
      </c>
      <c r="S88" s="6">
        <v>370000</v>
      </c>
      <c r="T88" s="6">
        <f t="shared" si="125"/>
        <v>1000000</v>
      </c>
      <c r="U88" s="6">
        <v>490000</v>
      </c>
      <c r="V88" s="6">
        <f t="shared" si="126"/>
        <v>1490000</v>
      </c>
      <c r="W88" s="6">
        <f>2805000-1835000-470000</f>
        <v>500000</v>
      </c>
      <c r="X88" s="6">
        <f t="shared" si="127"/>
        <v>1990000</v>
      </c>
      <c r="Y88" s="6">
        <v>1345000</v>
      </c>
      <c r="Z88" s="6">
        <f t="shared" si="128"/>
        <v>3335000</v>
      </c>
      <c r="AA88" s="6">
        <v>480000</v>
      </c>
      <c r="AB88" s="6">
        <f t="shared" si="129"/>
        <v>3815000</v>
      </c>
      <c r="AC88" s="6">
        <f t="shared" si="130"/>
        <v>-1815000</v>
      </c>
      <c r="AD88" s="75">
        <f t="shared" si="131"/>
        <v>1.9075</v>
      </c>
    </row>
    <row r="89" spans="1:32">
      <c r="A89" s="42" t="s">
        <v>104</v>
      </c>
      <c r="B89" s="6">
        <f>+C89/12</f>
        <v>250000</v>
      </c>
      <c r="C89" s="6">
        <f>5000000-2000000</f>
        <v>3000000</v>
      </c>
      <c r="D89" s="6">
        <v>0</v>
      </c>
      <c r="E89" s="6">
        <f t="shared" si="118"/>
        <v>0</v>
      </c>
      <c r="F89" s="6">
        <v>0</v>
      </c>
      <c r="G89" s="6">
        <f t="shared" si="119"/>
        <v>0</v>
      </c>
      <c r="H89" s="6">
        <v>0</v>
      </c>
      <c r="I89" s="6">
        <f t="shared" si="120"/>
        <v>0</v>
      </c>
      <c r="J89" s="6"/>
      <c r="K89" s="6">
        <f t="shared" si="121"/>
        <v>0</v>
      </c>
      <c r="L89" s="42" t="s">
        <v>104</v>
      </c>
      <c r="M89" s="6"/>
      <c r="N89" s="6">
        <f t="shared" si="122"/>
        <v>0</v>
      </c>
      <c r="O89" s="6">
        <v>301745</v>
      </c>
      <c r="P89" s="6">
        <f t="shared" si="123"/>
        <v>301745</v>
      </c>
      <c r="Q89" s="6"/>
      <c r="R89" s="6">
        <f t="shared" si="124"/>
        <v>301745</v>
      </c>
      <c r="S89" s="6"/>
      <c r="T89" s="6">
        <f t="shared" si="125"/>
        <v>301745</v>
      </c>
      <c r="U89" s="6"/>
      <c r="V89" s="6">
        <f t="shared" si="126"/>
        <v>301745</v>
      </c>
      <c r="W89" s="6"/>
      <c r="X89" s="6">
        <f t="shared" si="127"/>
        <v>301745</v>
      </c>
      <c r="Y89" s="6"/>
      <c r="Z89" s="6">
        <f t="shared" si="128"/>
        <v>301745</v>
      </c>
      <c r="AA89" s="6"/>
      <c r="AB89" s="6">
        <f t="shared" si="129"/>
        <v>301745</v>
      </c>
      <c r="AC89" s="6">
        <f t="shared" si="130"/>
        <v>2698255</v>
      </c>
      <c r="AD89" s="75">
        <f t="shared" si="131"/>
        <v>0.10058166666666667</v>
      </c>
    </row>
    <row r="90" spans="1:32">
      <c r="A90" s="66" t="s">
        <v>105</v>
      </c>
      <c r="B90" s="6">
        <f>+C90/12</f>
        <v>250000</v>
      </c>
      <c r="C90" s="6">
        <v>3000000</v>
      </c>
      <c r="D90" s="6">
        <v>566667</v>
      </c>
      <c r="E90" s="6">
        <f t="shared" si="118"/>
        <v>566667</v>
      </c>
      <c r="F90" s="6">
        <v>0</v>
      </c>
      <c r="G90" s="6">
        <f t="shared" si="119"/>
        <v>566667</v>
      </c>
      <c r="H90" s="6">
        <v>0</v>
      </c>
      <c r="I90" s="6">
        <f t="shared" si="120"/>
        <v>566667</v>
      </c>
      <c r="J90" s="6"/>
      <c r="K90" s="6">
        <f t="shared" si="121"/>
        <v>566667</v>
      </c>
      <c r="L90" s="66" t="s">
        <v>105</v>
      </c>
      <c r="M90" s="6"/>
      <c r="N90" s="6">
        <f t="shared" si="122"/>
        <v>566667</v>
      </c>
      <c r="O90" s="6"/>
      <c r="P90" s="6">
        <f t="shared" si="123"/>
        <v>566667</v>
      </c>
      <c r="Q90" s="6">
        <v>180000</v>
      </c>
      <c r="R90" s="6">
        <f t="shared" si="124"/>
        <v>746667</v>
      </c>
      <c r="S90" s="6">
        <v>959000</v>
      </c>
      <c r="T90" s="6">
        <f t="shared" si="125"/>
        <v>1705667</v>
      </c>
      <c r="U90" s="6"/>
      <c r="V90" s="6">
        <f t="shared" si="126"/>
        <v>1705667</v>
      </c>
      <c r="W90" s="6"/>
      <c r="X90" s="6">
        <f t="shared" si="127"/>
        <v>1705667</v>
      </c>
      <c r="Y90" s="6">
        <v>4782000</v>
      </c>
      <c r="Z90" s="6">
        <f t="shared" si="128"/>
        <v>6487667</v>
      </c>
      <c r="AA90" s="6"/>
      <c r="AB90" s="6">
        <f t="shared" si="129"/>
        <v>6487667</v>
      </c>
      <c r="AC90" s="6">
        <f t="shared" si="130"/>
        <v>-3487667</v>
      </c>
      <c r="AD90" s="75">
        <f t="shared" si="131"/>
        <v>2.1625556666666665</v>
      </c>
    </row>
    <row r="91" spans="1:32">
      <c r="A91" s="43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43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</row>
    <row r="92" spans="1:32">
      <c r="A92" s="43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43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</row>
    <row r="93" spans="1:32">
      <c r="A93" s="43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43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12"/>
      <c r="Y93" s="10"/>
      <c r="Z93" s="10"/>
      <c r="AA93" s="10"/>
      <c r="AB93" s="10"/>
    </row>
    <row r="94" spans="1:32">
      <c r="A94" s="43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43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</row>
    <row r="95" spans="1:32">
      <c r="A95" s="43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43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</row>
    <row r="96" spans="1:32">
      <c r="A96" s="43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43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</row>
    <row r="97" spans="1:32">
      <c r="A97" s="43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43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</row>
    <row r="98" spans="1:32">
      <c r="A98" s="43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43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</row>
    <row r="99" spans="1:32">
      <c r="A99" s="43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43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</row>
    <row r="100" spans="1:32" ht="23.25">
      <c r="A100" s="94"/>
      <c r="B100" s="95" t="s">
        <v>3</v>
      </c>
      <c r="C100" s="95" t="s">
        <v>4</v>
      </c>
      <c r="D100" s="95" t="s">
        <v>5</v>
      </c>
      <c r="E100" s="95" t="s">
        <v>6</v>
      </c>
      <c r="F100" s="95" t="s">
        <v>7</v>
      </c>
      <c r="G100" s="95" t="s">
        <v>8</v>
      </c>
      <c r="H100" s="95" t="s">
        <v>9</v>
      </c>
      <c r="I100" s="95" t="s">
        <v>10</v>
      </c>
      <c r="J100" s="95" t="s">
        <v>11</v>
      </c>
      <c r="K100" s="95" t="s">
        <v>65</v>
      </c>
      <c r="L100" s="94"/>
      <c r="M100" s="95" t="s">
        <v>13</v>
      </c>
      <c r="N100" s="95" t="s">
        <v>14</v>
      </c>
      <c r="O100" s="95" t="s">
        <v>15</v>
      </c>
      <c r="P100" s="95" t="s">
        <v>16</v>
      </c>
      <c r="Q100" s="95" t="s">
        <v>17</v>
      </c>
      <c r="R100" s="95" t="s">
        <v>18</v>
      </c>
      <c r="S100" s="95" t="s">
        <v>19</v>
      </c>
      <c r="T100" s="95" t="s">
        <v>106</v>
      </c>
      <c r="U100" s="95" t="s">
        <v>21</v>
      </c>
      <c r="V100" s="95" t="s">
        <v>22</v>
      </c>
      <c r="W100" s="95" t="s">
        <v>23</v>
      </c>
      <c r="X100" s="95" t="s">
        <v>24</v>
      </c>
      <c r="Y100" s="95" t="s">
        <v>25</v>
      </c>
      <c r="Z100" s="95" t="s">
        <v>107</v>
      </c>
      <c r="AA100" s="95" t="s">
        <v>27</v>
      </c>
      <c r="AB100" s="95" t="s">
        <v>28</v>
      </c>
      <c r="AC100" s="95" t="s">
        <v>29</v>
      </c>
      <c r="AD100" s="95" t="s">
        <v>30</v>
      </c>
    </row>
    <row r="101" spans="1:32">
      <c r="A101" s="44" t="s">
        <v>108</v>
      </c>
      <c r="B101" s="2">
        <f>SUM(B102:B105)</f>
        <v>468333.33333333331</v>
      </c>
      <c r="C101" s="2">
        <f>SUM(C102:C105)</f>
        <v>5620000</v>
      </c>
      <c r="D101" s="2">
        <f t="shared" ref="D101:E101" si="132">SUM(D102:D105)</f>
        <v>2143</v>
      </c>
      <c r="E101" s="2">
        <f t="shared" si="132"/>
        <v>2143</v>
      </c>
      <c r="F101" s="2">
        <f t="shared" ref="F101" si="133">SUM(F102:F105)</f>
        <v>1764</v>
      </c>
      <c r="G101" s="2">
        <f t="shared" ref="G101:W101" si="134">SUM(G102:G105)</f>
        <v>3907</v>
      </c>
      <c r="H101" s="2">
        <f t="shared" si="134"/>
        <v>3089</v>
      </c>
      <c r="I101" s="2">
        <f t="shared" si="134"/>
        <v>6996</v>
      </c>
      <c r="J101" s="2">
        <f t="shared" si="134"/>
        <v>2142</v>
      </c>
      <c r="K101" s="2">
        <f t="shared" si="134"/>
        <v>9138</v>
      </c>
      <c r="L101" s="44" t="s">
        <v>108</v>
      </c>
      <c r="M101" s="2">
        <f t="shared" si="134"/>
        <v>2184</v>
      </c>
      <c r="N101" s="2">
        <f t="shared" si="134"/>
        <v>11322</v>
      </c>
      <c r="O101" s="2">
        <f t="shared" si="134"/>
        <v>714</v>
      </c>
      <c r="P101" s="2">
        <f t="shared" si="134"/>
        <v>12036</v>
      </c>
      <c r="Q101" s="2">
        <f t="shared" si="134"/>
        <v>2499</v>
      </c>
      <c r="R101" s="2">
        <f t="shared" si="134"/>
        <v>14535</v>
      </c>
      <c r="S101" s="2">
        <f t="shared" si="134"/>
        <v>239225</v>
      </c>
      <c r="T101" s="2">
        <f t="shared" si="134"/>
        <v>253760</v>
      </c>
      <c r="U101" s="2">
        <f t="shared" si="134"/>
        <v>925035</v>
      </c>
      <c r="V101" s="2">
        <f t="shared" si="134"/>
        <v>1178795</v>
      </c>
      <c r="W101" s="2">
        <f t="shared" si="134"/>
        <v>2823</v>
      </c>
      <c r="X101" s="2">
        <f>SUM(X102:X105)</f>
        <v>1181618</v>
      </c>
      <c r="Y101" s="2">
        <f>SUM(Y102:Y105)</f>
        <v>3036</v>
      </c>
      <c r="Z101" s="2">
        <f t="shared" ref="Z101:AA101" si="135">SUM(Z102:Z105)</f>
        <v>1184654</v>
      </c>
      <c r="AA101" s="2">
        <f t="shared" si="135"/>
        <v>662688</v>
      </c>
      <c r="AB101" s="2">
        <f>SUM(AB102:AB105)</f>
        <v>1847342</v>
      </c>
      <c r="AC101" s="2">
        <f>SUM(AC102:AC105)</f>
        <v>3772658</v>
      </c>
      <c r="AD101" s="71">
        <f>AB101/C101</f>
        <v>0.32870854092526691</v>
      </c>
    </row>
    <row r="102" spans="1:32">
      <c r="A102" s="23" t="s">
        <v>109</v>
      </c>
      <c r="B102" s="6">
        <f>C102/12</f>
        <v>10000</v>
      </c>
      <c r="C102" s="6">
        <v>120000</v>
      </c>
      <c r="D102" s="6">
        <v>2142</v>
      </c>
      <c r="E102" s="6">
        <f>D102</f>
        <v>2142</v>
      </c>
      <c r="F102" s="6">
        <v>1764</v>
      </c>
      <c r="G102" s="6">
        <f>E102+F102</f>
        <v>3906</v>
      </c>
      <c r="H102" s="6">
        <f>6992-3906</f>
        <v>3086</v>
      </c>
      <c r="I102" s="6">
        <f>G102+H102</f>
        <v>6992</v>
      </c>
      <c r="J102" s="6">
        <f>9134-I102</f>
        <v>2142</v>
      </c>
      <c r="K102" s="6">
        <f>I102+J102</f>
        <v>9134</v>
      </c>
      <c r="L102" s="23" t="s">
        <v>109</v>
      </c>
      <c r="M102" s="6">
        <v>2182</v>
      </c>
      <c r="N102" s="6">
        <f>K102+M102</f>
        <v>11316</v>
      </c>
      <c r="O102" s="6">
        <v>714</v>
      </c>
      <c r="P102" s="6">
        <f>N102+O102</f>
        <v>12030</v>
      </c>
      <c r="Q102" s="6">
        <v>2499</v>
      </c>
      <c r="R102" s="6">
        <f>P102+Q102</f>
        <v>14529</v>
      </c>
      <c r="S102" s="6">
        <v>1428</v>
      </c>
      <c r="T102" s="6">
        <f>R102+S102</f>
        <v>15957</v>
      </c>
      <c r="U102" s="6">
        <v>3342</v>
      </c>
      <c r="V102" s="6">
        <f>T102+U102</f>
        <v>19299</v>
      </c>
      <c r="W102" s="6">
        <v>1785</v>
      </c>
      <c r="X102" s="6">
        <f>V102+W102</f>
        <v>21084</v>
      </c>
      <c r="Y102" s="6">
        <v>2142</v>
      </c>
      <c r="Z102" s="6">
        <f>X102+Y102</f>
        <v>23226</v>
      </c>
      <c r="AA102" s="6">
        <v>714</v>
      </c>
      <c r="AB102" s="6">
        <f>Z102+AA102</f>
        <v>23940</v>
      </c>
      <c r="AC102" s="6">
        <f>C102-AB102</f>
        <v>96060</v>
      </c>
      <c r="AD102" s="75">
        <f>AB102/C102</f>
        <v>0.19950000000000001</v>
      </c>
    </row>
    <row r="103" spans="1:32">
      <c r="A103" s="23" t="s">
        <v>110</v>
      </c>
      <c r="B103" s="6">
        <f>+C103/12</f>
        <v>166666.66666666666</v>
      </c>
      <c r="C103" s="6">
        <v>2000000</v>
      </c>
      <c r="D103" s="6">
        <v>0</v>
      </c>
      <c r="E103" s="6">
        <f t="shared" ref="E103:E105" si="136">D103</f>
        <v>0</v>
      </c>
      <c r="F103" s="6"/>
      <c r="G103" s="6">
        <f t="shared" ref="G103:G105" si="137">E103+F103</f>
        <v>0</v>
      </c>
      <c r="H103" s="6"/>
      <c r="I103" s="6">
        <f t="shared" ref="I103:I105" si="138">G103+H103</f>
        <v>0</v>
      </c>
      <c r="J103" s="6"/>
      <c r="K103" s="6">
        <f t="shared" ref="K103:K105" si="139">I103+J103</f>
        <v>0</v>
      </c>
      <c r="L103" s="23" t="s">
        <v>110</v>
      </c>
      <c r="M103" s="6"/>
      <c r="N103" s="6">
        <f t="shared" ref="N103:N105" si="140">K103+M103</f>
        <v>0</v>
      </c>
      <c r="O103" s="6"/>
      <c r="P103" s="6">
        <f t="shared" ref="P103:P105" si="141">N103+O103</f>
        <v>0</v>
      </c>
      <c r="Q103" s="6"/>
      <c r="R103" s="6">
        <f t="shared" ref="R103:R105" si="142">P103+Q103</f>
        <v>0</v>
      </c>
      <c r="S103" s="6"/>
      <c r="T103" s="6">
        <f t="shared" ref="T103:T105" si="143">R103+S103</f>
        <v>0</v>
      </c>
      <c r="U103" s="6">
        <v>921693</v>
      </c>
      <c r="V103" s="6">
        <f t="shared" ref="V103:V105" si="144">T103+U103</f>
        <v>921693</v>
      </c>
      <c r="W103" s="6"/>
      <c r="X103" s="6">
        <f t="shared" ref="X103:X105" si="145">V103+W103</f>
        <v>921693</v>
      </c>
      <c r="Y103" s="6"/>
      <c r="Z103" s="6">
        <f t="shared" ref="Z103:Z105" si="146">X103+Y103</f>
        <v>921693</v>
      </c>
      <c r="AA103" s="6"/>
      <c r="AB103" s="6">
        <f t="shared" ref="AB103:AB105" si="147">Z103+AA103</f>
        <v>921693</v>
      </c>
      <c r="AC103" s="6">
        <f t="shared" ref="AC103:AC105" si="148">C103-AB103</f>
        <v>1078307</v>
      </c>
      <c r="AD103" s="75">
        <f t="shared" ref="AD103:AD105" si="149">AB103/C103</f>
        <v>0.46084649999999999</v>
      </c>
    </row>
    <row r="104" spans="1:32">
      <c r="A104" s="23" t="s">
        <v>111</v>
      </c>
      <c r="B104" s="6">
        <f>C104/12</f>
        <v>166666.66666666666</v>
      </c>
      <c r="C104" s="6">
        <f>5000000-3000000</f>
        <v>2000000</v>
      </c>
      <c r="D104" s="6">
        <v>0</v>
      </c>
      <c r="E104" s="6">
        <f t="shared" si="136"/>
        <v>0</v>
      </c>
      <c r="F104" s="6"/>
      <c r="G104" s="6">
        <f t="shared" si="137"/>
        <v>0</v>
      </c>
      <c r="H104" s="6"/>
      <c r="I104" s="6">
        <f t="shared" si="138"/>
        <v>0</v>
      </c>
      <c r="J104" s="6"/>
      <c r="K104" s="6">
        <f t="shared" si="139"/>
        <v>0</v>
      </c>
      <c r="L104" s="23" t="s">
        <v>111</v>
      </c>
      <c r="M104" s="6"/>
      <c r="N104" s="6">
        <f t="shared" si="140"/>
        <v>0</v>
      </c>
      <c r="O104" s="6"/>
      <c r="P104" s="6">
        <f t="shared" si="141"/>
        <v>0</v>
      </c>
      <c r="Q104" s="6"/>
      <c r="R104" s="6">
        <f t="shared" si="142"/>
        <v>0</v>
      </c>
      <c r="S104" s="6"/>
      <c r="T104" s="6">
        <f t="shared" si="143"/>
        <v>0</v>
      </c>
      <c r="U104" s="6"/>
      <c r="V104" s="6">
        <f t="shared" si="144"/>
        <v>0</v>
      </c>
      <c r="W104" s="6"/>
      <c r="X104" s="6">
        <f t="shared" si="145"/>
        <v>0</v>
      </c>
      <c r="Y104" s="6"/>
      <c r="Z104" s="6">
        <f t="shared" si="146"/>
        <v>0</v>
      </c>
      <c r="AA104" s="6"/>
      <c r="AB104" s="6">
        <f t="shared" si="147"/>
        <v>0</v>
      </c>
      <c r="AC104" s="6">
        <f t="shared" si="148"/>
        <v>2000000</v>
      </c>
      <c r="AD104" s="75">
        <f t="shared" si="149"/>
        <v>0</v>
      </c>
    </row>
    <row r="105" spans="1:32">
      <c r="A105" s="23" t="s">
        <v>112</v>
      </c>
      <c r="B105" s="6">
        <f>C105/12</f>
        <v>125000</v>
      </c>
      <c r="C105" s="6">
        <v>1500000</v>
      </c>
      <c r="D105" s="6">
        <v>1</v>
      </c>
      <c r="E105" s="6">
        <f t="shared" si="136"/>
        <v>1</v>
      </c>
      <c r="F105" s="6"/>
      <c r="G105" s="6">
        <f t="shared" si="137"/>
        <v>1</v>
      </c>
      <c r="H105" s="6">
        <v>3</v>
      </c>
      <c r="I105" s="6">
        <f t="shared" si="138"/>
        <v>4</v>
      </c>
      <c r="J105" s="6"/>
      <c r="K105" s="6">
        <f t="shared" si="139"/>
        <v>4</v>
      </c>
      <c r="L105" s="23" t="s">
        <v>112</v>
      </c>
      <c r="M105" s="6">
        <v>2</v>
      </c>
      <c r="N105" s="6">
        <f t="shared" si="140"/>
        <v>6</v>
      </c>
      <c r="O105" s="6"/>
      <c r="P105" s="6">
        <f t="shared" si="141"/>
        <v>6</v>
      </c>
      <c r="Q105" s="6"/>
      <c r="R105" s="6">
        <f t="shared" si="142"/>
        <v>6</v>
      </c>
      <c r="S105" s="6">
        <f>237483+314</f>
        <v>237797</v>
      </c>
      <c r="T105" s="6">
        <f t="shared" si="143"/>
        <v>237803</v>
      </c>
      <c r="U105" s="6"/>
      <c r="V105" s="6">
        <f t="shared" si="144"/>
        <v>237803</v>
      </c>
      <c r="W105" s="6">
        <v>1038</v>
      </c>
      <c r="X105" s="6">
        <f t="shared" si="145"/>
        <v>238841</v>
      </c>
      <c r="Y105" s="6">
        <v>894</v>
      </c>
      <c r="Z105" s="6">
        <f t="shared" si="146"/>
        <v>239735</v>
      </c>
      <c r="AA105" s="6">
        <f>661362+612</f>
        <v>661974</v>
      </c>
      <c r="AB105" s="6">
        <f t="shared" si="147"/>
        <v>901709</v>
      </c>
      <c r="AC105" s="6">
        <f t="shared" si="148"/>
        <v>598291</v>
      </c>
      <c r="AD105" s="75">
        <f t="shared" si="149"/>
        <v>0.60113933333333336</v>
      </c>
    </row>
    <row r="106" spans="1:32">
      <c r="A106" s="45" t="s">
        <v>113</v>
      </c>
      <c r="B106" s="20">
        <f t="shared" ref="B106:K106" si="150">+B101+B83+B81+B78+B76+B73+B69+B67+B53+B50+B33+B28+B16</f>
        <v>114345774.75413331</v>
      </c>
      <c r="C106" s="20">
        <f t="shared" si="150"/>
        <v>1372149297.0496001</v>
      </c>
      <c r="D106" s="20">
        <f t="shared" si="150"/>
        <v>83955351</v>
      </c>
      <c r="E106" s="20">
        <f t="shared" si="150"/>
        <v>83955351</v>
      </c>
      <c r="F106" s="20">
        <f t="shared" si="150"/>
        <v>87243072</v>
      </c>
      <c r="G106" s="20">
        <f t="shared" si="150"/>
        <v>171198423</v>
      </c>
      <c r="H106" s="20">
        <f t="shared" si="150"/>
        <v>92024331</v>
      </c>
      <c r="I106" s="20">
        <f t="shared" si="150"/>
        <v>263222754</v>
      </c>
      <c r="J106" s="20">
        <f t="shared" si="150"/>
        <v>85188040</v>
      </c>
      <c r="K106" s="20">
        <f t="shared" si="150"/>
        <v>348410794</v>
      </c>
      <c r="L106" s="45" t="s">
        <v>113</v>
      </c>
      <c r="M106" s="20">
        <f>+M101+M83+M81+M78+M76+M73+M69+M67+M53+M50+M33+M28+M16</f>
        <v>93165380</v>
      </c>
      <c r="N106" s="20">
        <f>+N101+N83+N81+N78+N76+N73+N69+N67+N53+N50+N33+N28+N16</f>
        <v>441576174</v>
      </c>
      <c r="O106" s="20">
        <f>+O101+O83+O81+O78+O76+O73+O69+O67+O53+O50+O33+O28+O16</f>
        <v>143062430</v>
      </c>
      <c r="P106" s="20">
        <f>+P101+P83+P81+P78+P76+P73+P69+P67+P53+P50+P33+P28+P16</f>
        <v>584638604</v>
      </c>
      <c r="Q106" s="20">
        <f>+Q101+Q83+Q81+Q78+Q76+Q73+Q69+Q67+Q53+Q50+Q33+Q28+Q16</f>
        <v>97961630</v>
      </c>
      <c r="R106" s="20">
        <f t="shared" ref="R106:AB106" si="151">+R101+R83+R81+R78+R76+R73+R69+R67+R53+R50+R33+R28+R16</f>
        <v>682600234</v>
      </c>
      <c r="S106" s="20">
        <f>+S101+S83+S81+S78+S76+S73+S69+S67+S53+S50+S33+S28+S16</f>
        <v>95812070</v>
      </c>
      <c r="T106" s="20">
        <f t="shared" si="151"/>
        <v>778412304</v>
      </c>
      <c r="U106" s="20">
        <f t="shared" si="151"/>
        <v>91965797</v>
      </c>
      <c r="V106" s="20">
        <f t="shared" si="151"/>
        <v>870378101</v>
      </c>
      <c r="W106" s="20">
        <f t="shared" si="151"/>
        <v>97853013</v>
      </c>
      <c r="X106" s="20">
        <f t="shared" si="151"/>
        <v>968231114</v>
      </c>
      <c r="Y106" s="20">
        <f t="shared" si="151"/>
        <v>131424427</v>
      </c>
      <c r="Z106" s="20">
        <f t="shared" si="151"/>
        <v>1099655541</v>
      </c>
      <c r="AA106" s="20">
        <f t="shared" si="151"/>
        <v>133068739</v>
      </c>
      <c r="AB106" s="20">
        <f t="shared" si="151"/>
        <v>1232724280</v>
      </c>
      <c r="AC106" s="20">
        <f>+AC101+AC83+AC81+AC78+AC76+AC73+AC69+AC67+AC53+AC50+AC33+AC28+AC16</f>
        <v>147966067.04960001</v>
      </c>
      <c r="AD106" s="73">
        <f>AB106/C106</f>
        <v>0.89838932443474462</v>
      </c>
      <c r="AF106" s="103"/>
    </row>
    <row r="107" spans="1:32">
      <c r="A107" s="15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15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  <c r="AF107" s="103"/>
    </row>
    <row r="108" spans="1:32">
      <c r="A108" s="47" t="s">
        <v>114</v>
      </c>
      <c r="B108" s="48">
        <f t="shared" ref="B108:K108" si="152">+B13-B106</f>
        <v>1072225.2458666861</v>
      </c>
      <c r="C108" s="48">
        <f t="shared" si="152"/>
        <v>12866702.950399876</v>
      </c>
      <c r="D108" s="48">
        <f t="shared" si="152"/>
        <v>38952109</v>
      </c>
      <c r="E108" s="48">
        <f t="shared" si="152"/>
        <v>38952109</v>
      </c>
      <c r="F108" s="48">
        <f t="shared" si="152"/>
        <v>27697603.350000024</v>
      </c>
      <c r="G108" s="48">
        <f t="shared" si="152"/>
        <v>66649712.350000024</v>
      </c>
      <c r="H108" s="48">
        <f t="shared" si="152"/>
        <v>995256</v>
      </c>
      <c r="I108" s="48">
        <f t="shared" si="152"/>
        <v>67644968.350000024</v>
      </c>
      <c r="J108" s="48">
        <f t="shared" si="152"/>
        <v>12839525</v>
      </c>
      <c r="K108" s="48">
        <f t="shared" si="152"/>
        <v>80484493.350000024</v>
      </c>
      <c r="L108" s="47" t="s">
        <v>114</v>
      </c>
      <c r="M108" s="48">
        <f>+M13-M106</f>
        <v>15619178</v>
      </c>
      <c r="N108" s="48">
        <f>+N13-N106</f>
        <v>96103671.349999905</v>
      </c>
      <c r="O108" s="48">
        <f>+O13-O106</f>
        <v>-13456497</v>
      </c>
      <c r="P108" s="48">
        <f>+P13-P106</f>
        <v>82647174.349999905</v>
      </c>
      <c r="Q108" s="48">
        <f>+Q13-Q106</f>
        <v>51691950</v>
      </c>
      <c r="R108" s="48">
        <f>P108+Q108</f>
        <v>134339124.3499999</v>
      </c>
      <c r="S108" s="48">
        <f>+S13-S106</f>
        <v>40278111</v>
      </c>
      <c r="T108" s="48">
        <f>R108+S108</f>
        <v>174617235.3499999</v>
      </c>
      <c r="U108" s="48">
        <f>+U13-U106</f>
        <v>36436196</v>
      </c>
      <c r="V108" s="48">
        <f>T108+U108</f>
        <v>211053431.3499999</v>
      </c>
      <c r="W108" s="48">
        <f>+W13-W106</f>
        <v>43052379</v>
      </c>
      <c r="X108" s="48">
        <f>V108+W108</f>
        <v>254105810.3499999</v>
      </c>
      <c r="Y108" s="48">
        <f>+Y13-Y106</f>
        <v>-3676116.4900000095</v>
      </c>
      <c r="Z108" s="48">
        <f>X108+Y108</f>
        <v>250429693.8599999</v>
      </c>
      <c r="AA108" s="48">
        <f>+AA13-AA106</f>
        <v>16278698.75</v>
      </c>
      <c r="AB108" s="48">
        <f>Z108+AA108</f>
        <v>266708392.6099999</v>
      </c>
      <c r="AC108" s="48">
        <f>+AC13-AC106</f>
        <v>-262382739.65960002</v>
      </c>
      <c r="AD108" s="69">
        <f>AB108/C108</f>
        <v>20.728573095853669</v>
      </c>
      <c r="AF108" s="82"/>
    </row>
    <row r="109" spans="1:32">
      <c r="A109" s="49" t="s">
        <v>115</v>
      </c>
      <c r="B109" s="50"/>
      <c r="C109" s="50"/>
      <c r="D109" s="102">
        <v>8538548</v>
      </c>
      <c r="E109" s="102">
        <f>D109</f>
        <v>8538548</v>
      </c>
      <c r="F109" s="102"/>
      <c r="G109" s="102">
        <f>E109+F109</f>
        <v>8538548</v>
      </c>
      <c r="H109" s="102">
        <v>16583366</v>
      </c>
      <c r="I109" s="102">
        <f>G109+H109</f>
        <v>25121914</v>
      </c>
      <c r="J109" s="50"/>
      <c r="K109" s="50">
        <f>I109+J109</f>
        <v>25121914</v>
      </c>
      <c r="L109" s="49" t="s">
        <v>115</v>
      </c>
      <c r="M109" s="50"/>
      <c r="N109" s="50">
        <f>M109+K109</f>
        <v>25121914</v>
      </c>
      <c r="O109" s="50"/>
      <c r="P109" s="50">
        <f>N109+O109</f>
        <v>25121914</v>
      </c>
      <c r="Q109" s="50"/>
      <c r="R109" s="50">
        <f>P109+Q109</f>
        <v>25121914</v>
      </c>
      <c r="S109" s="50"/>
      <c r="T109" s="50">
        <f>R109+S109</f>
        <v>25121914</v>
      </c>
      <c r="U109" s="50"/>
      <c r="V109" s="50">
        <f>T109+U109</f>
        <v>25121914</v>
      </c>
      <c r="W109" s="50">
        <v>7270000</v>
      </c>
      <c r="X109" s="50">
        <f>V109+W109</f>
        <v>32391914</v>
      </c>
      <c r="Y109" s="50"/>
      <c r="Z109" s="50">
        <f>X109+Y109</f>
        <v>32391914</v>
      </c>
      <c r="AA109" s="50">
        <v>33321920</v>
      </c>
      <c r="AB109" s="50">
        <f>Z109+AA109</f>
        <v>65713834</v>
      </c>
      <c r="AC109" s="50"/>
      <c r="AD109" s="50"/>
      <c r="AF109" s="83"/>
    </row>
    <row r="110" spans="1:32">
      <c r="A110" s="52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2"/>
      <c r="M110" s="51"/>
      <c r="N110" s="51"/>
      <c r="O110" s="51"/>
      <c r="P110" s="51"/>
      <c r="Q110" s="51"/>
      <c r="R110" s="51"/>
      <c r="S110" s="51"/>
      <c r="T110" s="51"/>
      <c r="U110" s="51"/>
      <c r="V110" s="51"/>
      <c r="W110" s="51"/>
      <c r="X110" s="51"/>
      <c r="Y110" s="51"/>
      <c r="Z110" s="51"/>
      <c r="AA110" s="51"/>
      <c r="AB110" s="51"/>
      <c r="AC110" s="51"/>
      <c r="AD110" s="50"/>
    </row>
    <row r="111" spans="1:32">
      <c r="A111" s="53" t="s">
        <v>39</v>
      </c>
      <c r="B111" s="48">
        <f>+B108-B109-B110</f>
        <v>1072225.2458666861</v>
      </c>
      <c r="C111" s="48">
        <f>+C108-C109-C110</f>
        <v>12866702.950399876</v>
      </c>
      <c r="D111" s="48">
        <f t="shared" ref="D111:E111" si="153">+D108-D109-D110</f>
        <v>30413561</v>
      </c>
      <c r="E111" s="48">
        <f t="shared" si="153"/>
        <v>30413561</v>
      </c>
      <c r="F111" s="48">
        <f t="shared" ref="F111" si="154">+F108-F109-F110</f>
        <v>27697603.350000024</v>
      </c>
      <c r="G111" s="48">
        <f t="shared" ref="G111:J111" si="155">+G108-G109-G110</f>
        <v>58111164.350000024</v>
      </c>
      <c r="H111" s="48">
        <f t="shared" si="155"/>
        <v>-15588110</v>
      </c>
      <c r="I111" s="48">
        <f t="shared" si="155"/>
        <v>42523054.350000024</v>
      </c>
      <c r="J111" s="48">
        <f t="shared" si="155"/>
        <v>12839525</v>
      </c>
      <c r="K111" s="48">
        <f>+K108-K109-K110</f>
        <v>55362579.350000024</v>
      </c>
      <c r="L111" s="53" t="s">
        <v>39</v>
      </c>
      <c r="M111" s="48">
        <f t="shared" ref="M111:AC111" si="156">+M108-M109-M110</f>
        <v>15619178</v>
      </c>
      <c r="N111" s="48">
        <f t="shared" si="156"/>
        <v>70981757.349999905</v>
      </c>
      <c r="O111" s="48">
        <f t="shared" si="156"/>
        <v>-13456497</v>
      </c>
      <c r="P111" s="48">
        <f t="shared" si="156"/>
        <v>57525260.349999905</v>
      </c>
      <c r="Q111" s="48">
        <f t="shared" si="156"/>
        <v>51691950</v>
      </c>
      <c r="R111" s="48">
        <f t="shared" si="156"/>
        <v>109217210.3499999</v>
      </c>
      <c r="S111" s="48">
        <f t="shared" si="156"/>
        <v>40278111</v>
      </c>
      <c r="T111" s="48">
        <f t="shared" si="156"/>
        <v>149495321.3499999</v>
      </c>
      <c r="U111" s="48">
        <f t="shared" si="156"/>
        <v>36436196</v>
      </c>
      <c r="V111" s="48">
        <f t="shared" si="156"/>
        <v>185931517.3499999</v>
      </c>
      <c r="W111" s="48">
        <f>+W108-W109-W110</f>
        <v>35782379</v>
      </c>
      <c r="X111" s="48">
        <f t="shared" si="156"/>
        <v>221713896.3499999</v>
      </c>
      <c r="Y111" s="48">
        <f t="shared" si="156"/>
        <v>-3676116.4900000095</v>
      </c>
      <c r="Z111" s="48">
        <f>+Z108-Z109-Z110</f>
        <v>218037779.8599999</v>
      </c>
      <c r="AA111" s="48">
        <f t="shared" ref="AA111:AB111" si="157">+AA108-AA109-AA110</f>
        <v>-17043221.25</v>
      </c>
      <c r="AB111" s="48">
        <f t="shared" si="157"/>
        <v>200994558.6099999</v>
      </c>
      <c r="AC111" s="48">
        <f t="shared" si="156"/>
        <v>-262382739.65960002</v>
      </c>
      <c r="AD111" s="75">
        <f>AB111/C111</f>
        <v>15.621294700345384</v>
      </c>
    </row>
    <row r="112" spans="1:32">
      <c r="A112" s="33"/>
      <c r="B112" s="33"/>
      <c r="C112" s="33"/>
    </row>
    <row r="113" spans="1:28">
      <c r="B113" s="54"/>
      <c r="C113" s="54"/>
      <c r="D113" s="105"/>
      <c r="F113" s="108"/>
      <c r="H113" s="108"/>
      <c r="J113" s="108"/>
      <c r="M113" s="104"/>
      <c r="O113" s="104"/>
      <c r="Q113" s="104"/>
      <c r="S113" s="104"/>
      <c r="U113" s="104"/>
      <c r="W113" s="104"/>
      <c r="X113" s="103"/>
      <c r="Y113" s="103"/>
      <c r="Z113" s="103"/>
      <c r="AA113" s="108"/>
      <c r="AB113" s="103"/>
    </row>
    <row r="114" spans="1:28">
      <c r="B114" s="54"/>
      <c r="C114" s="54"/>
      <c r="M114" s="103"/>
      <c r="O114" s="103"/>
      <c r="Q114" s="103"/>
      <c r="S114" s="103"/>
      <c r="U114" s="103"/>
      <c r="W114" s="103"/>
      <c r="X114" s="103"/>
      <c r="Y114" s="103"/>
      <c r="Z114" s="103"/>
      <c r="AA114" s="103"/>
      <c r="AB114" s="103"/>
    </row>
    <row r="115" spans="1:28">
      <c r="B115" s="54"/>
      <c r="C115" s="54"/>
      <c r="D115" s="106"/>
      <c r="F115" s="106"/>
      <c r="H115" s="106"/>
      <c r="J115" s="106"/>
      <c r="M115" s="106"/>
      <c r="N115" s="83"/>
      <c r="O115" s="106"/>
      <c r="P115" s="103"/>
      <c r="Q115" s="106"/>
      <c r="R115" s="103"/>
      <c r="S115" s="106"/>
      <c r="T115" s="103"/>
      <c r="U115" s="106"/>
      <c r="V115" s="103"/>
      <c r="W115" s="106"/>
      <c r="X115" s="103"/>
      <c r="Y115" s="106"/>
      <c r="Z115" s="103"/>
      <c r="AA115" s="103"/>
      <c r="AB115" s="103"/>
    </row>
    <row r="116" spans="1:28">
      <c r="B116" s="54"/>
      <c r="C116" s="54"/>
      <c r="M116" s="107"/>
      <c r="Y116" s="103"/>
    </row>
    <row r="117" spans="1:28">
      <c r="A117" s="54"/>
      <c r="B117" s="54"/>
      <c r="C117" s="54"/>
    </row>
    <row r="118" spans="1:28">
      <c r="L118" s="67" t="s">
        <v>116</v>
      </c>
      <c r="M118" s="67"/>
    </row>
    <row r="119" spans="1:28">
      <c r="L119" t="s">
        <v>117</v>
      </c>
    </row>
    <row r="120" spans="1:28">
      <c r="L120" t="s">
        <v>118</v>
      </c>
    </row>
    <row r="125" spans="1:28">
      <c r="L125" s="68" t="s">
        <v>119</v>
      </c>
    </row>
    <row r="126" spans="1:28">
      <c r="L126" t="s">
        <v>120</v>
      </c>
    </row>
  </sheetData>
  <mergeCells count="1">
    <mergeCell ref="A2:AD2"/>
  </mergeCells>
  <pageMargins left="0.31496062992125984" right="0.11811023622047245" top="0.55118110236220474" bottom="0.35433070866141736" header="0.31496062992125984" footer="0.31496062992125984"/>
  <pageSetup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B923D-704C-45CB-9CB1-649BAAF98FCE}">
  <dimension ref="E11"/>
  <sheetViews>
    <sheetView workbookViewId="0">
      <selection activeCell="H11" sqref="H11"/>
    </sheetView>
  </sheetViews>
  <sheetFormatPr defaultColWidth="11.42578125" defaultRowHeight="15"/>
  <sheetData>
    <row r="11" spans="5:5">
      <c r="E11" s="8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21199-FEE5-4EB9-8C49-3F93BB6C84CE}">
  <dimension ref="F4:J23"/>
  <sheetViews>
    <sheetView topLeftCell="A4" workbookViewId="0">
      <selection activeCell="H24" sqref="H24"/>
    </sheetView>
  </sheetViews>
  <sheetFormatPr defaultColWidth="11.42578125" defaultRowHeight="15"/>
  <cols>
    <col min="8" max="8" width="14.140625" bestFit="1" customWidth="1"/>
    <col min="10" max="10" width="13.140625" bestFit="1" customWidth="1"/>
  </cols>
  <sheetData>
    <row r="4" spans="6:10">
      <c r="F4">
        <v>13</v>
      </c>
      <c r="H4" s="82">
        <v>565756</v>
      </c>
      <c r="J4" s="82">
        <v>6479375</v>
      </c>
    </row>
    <row r="5" spans="6:10">
      <c r="F5">
        <v>28</v>
      </c>
      <c r="H5" s="82">
        <v>5810273</v>
      </c>
      <c r="J5" s="82">
        <v>1620000</v>
      </c>
    </row>
    <row r="6" spans="6:10">
      <c r="F6">
        <v>12</v>
      </c>
      <c r="H6" s="82">
        <v>8200438</v>
      </c>
      <c r="J6" s="83">
        <f>J4+J5</f>
        <v>8099375</v>
      </c>
    </row>
    <row r="7" spans="6:10">
      <c r="H7" s="82">
        <f>SUM(H4:H6)</f>
        <v>14576467</v>
      </c>
      <c r="J7" s="83">
        <v>6099375</v>
      </c>
    </row>
    <row r="8" spans="6:10">
      <c r="F8">
        <v>5</v>
      </c>
      <c r="J8" s="83">
        <f>J6-J7</f>
        <v>2000000</v>
      </c>
    </row>
    <row r="9" spans="6:10">
      <c r="F9">
        <v>28</v>
      </c>
      <c r="H9" s="82">
        <v>14587467</v>
      </c>
    </row>
    <row r="10" spans="6:10">
      <c r="F10">
        <f>SUM(F4:F9)</f>
        <v>86</v>
      </c>
      <c r="H10" s="82">
        <v>9484018</v>
      </c>
    </row>
    <row r="11" spans="6:10">
      <c r="H11" s="83"/>
    </row>
    <row r="12" spans="6:10">
      <c r="H12" s="83">
        <f>H7-H10</f>
        <v>5092449</v>
      </c>
    </row>
    <row r="14" spans="6:10">
      <c r="H14" s="82">
        <v>29758016</v>
      </c>
    </row>
    <row r="15" spans="6:10">
      <c r="H15" s="82">
        <v>32236248</v>
      </c>
    </row>
    <row r="16" spans="6:10">
      <c r="H16" s="83">
        <f>H15-H14</f>
        <v>2478232</v>
      </c>
    </row>
    <row r="18" spans="8:8">
      <c r="H18" s="82">
        <v>31378016</v>
      </c>
    </row>
    <row r="20" spans="8:8">
      <c r="H20" s="83">
        <f>H15-H18</f>
        <v>858232</v>
      </c>
    </row>
    <row r="21" spans="8:8">
      <c r="H21" s="82">
        <v>32226248</v>
      </c>
    </row>
    <row r="23" spans="8:8">
      <c r="H23" s="83">
        <f>H15-H21</f>
        <v>10000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 martinez</dc:creator>
  <cp:keywords/>
  <dc:description/>
  <cp:lastModifiedBy>Usuario invitado</cp:lastModifiedBy>
  <cp:revision/>
  <dcterms:created xsi:type="dcterms:W3CDTF">2025-04-07T14:58:19Z</dcterms:created>
  <dcterms:modified xsi:type="dcterms:W3CDTF">2026-01-22T21:16:52Z</dcterms:modified>
  <cp:category/>
  <cp:contentStatus/>
</cp:coreProperties>
</file>