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ose2\Downloads\"/>
    </mc:Choice>
  </mc:AlternateContent>
  <xr:revisionPtr revIDLastSave="0" documentId="8_{28E885EA-9ACB-4CEB-8AA0-D8831A66C585}" xr6:coauthVersionLast="47" xr6:coauthVersionMax="47" xr10:uidLastSave="{00000000-0000-0000-0000-000000000000}"/>
  <bookViews>
    <workbookView xWindow="-108" yWindow="-108" windowWidth="23256" windowHeight="12456" xr2:uid="{C79D1A4D-8E20-42D1-9498-FEF2AA2271D1}"/>
  </bookViews>
  <sheets>
    <sheet name="Hoja1" sheetId="1" r:id="rId1"/>
  </sheets>
  <externalReferences>
    <externalReference r:id="rId2"/>
  </externalReferenc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34" i="1" l="1"/>
  <c r="P35" i="1"/>
  <c r="P36" i="1"/>
  <c r="P37" i="1"/>
  <c r="P38" i="1"/>
  <c r="P39" i="1"/>
  <c r="P32" i="1"/>
  <c r="P33" i="1"/>
  <c r="N108" i="1"/>
  <c r="N116" i="1"/>
  <c r="P112" i="1"/>
  <c r="P113" i="1"/>
  <c r="P114" i="1"/>
  <c r="P111" i="1"/>
  <c r="E114" i="1"/>
  <c r="F114" i="1"/>
  <c r="G114" i="1"/>
  <c r="H114" i="1"/>
  <c r="I114" i="1"/>
  <c r="J114" i="1"/>
  <c r="K114" i="1"/>
  <c r="L114" i="1"/>
  <c r="M114" i="1"/>
  <c r="M116" i="1" s="1"/>
  <c r="N114" i="1"/>
  <c r="O114" i="1"/>
  <c r="O112" i="1"/>
  <c r="O113" i="1"/>
  <c r="O111" i="1"/>
  <c r="N111" i="1"/>
  <c r="N112" i="1"/>
  <c r="N113" i="1"/>
  <c r="N115" i="1"/>
  <c r="N110" i="1"/>
  <c r="M108" i="1"/>
  <c r="P105" i="1"/>
  <c r="P103" i="1"/>
  <c r="P102" i="1"/>
  <c r="O103" i="1"/>
  <c r="O104" i="1"/>
  <c r="O105" i="1"/>
  <c r="O102" i="1"/>
  <c r="M106" i="1"/>
  <c r="N106" i="1"/>
  <c r="M105" i="1"/>
  <c r="N105" i="1" s="1"/>
  <c r="M102" i="1"/>
  <c r="P95" i="1"/>
  <c r="P96" i="1"/>
  <c r="P97" i="1"/>
  <c r="P98" i="1"/>
  <c r="P99" i="1"/>
  <c r="P94" i="1"/>
  <c r="O95" i="1"/>
  <c r="O96" i="1"/>
  <c r="O97" i="1"/>
  <c r="O98" i="1"/>
  <c r="O99" i="1"/>
  <c r="O94" i="1"/>
  <c r="N103" i="1"/>
  <c r="N104" i="1"/>
  <c r="M99" i="1"/>
  <c r="N99" i="1" s="1"/>
  <c r="M97" i="1"/>
  <c r="N97" i="1" s="1"/>
  <c r="M95" i="1"/>
  <c r="N96" i="1"/>
  <c r="N98" i="1"/>
  <c r="N94" i="1"/>
  <c r="P92" i="1"/>
  <c r="O92" i="1"/>
  <c r="N92" i="1"/>
  <c r="M84" i="1"/>
  <c r="N84" i="1" s="1"/>
  <c r="N83" i="1" s="1"/>
  <c r="M82" i="1"/>
  <c r="M81" i="1"/>
  <c r="N82" i="1"/>
  <c r="N81" i="1"/>
  <c r="M80" i="1"/>
  <c r="N80" i="1"/>
  <c r="M78" i="1"/>
  <c r="N78" i="1"/>
  <c r="O77" i="1"/>
  <c r="O76" i="1"/>
  <c r="N77" i="1"/>
  <c r="N76" i="1"/>
  <c r="M75" i="1"/>
  <c r="M72" i="1"/>
  <c r="N72" i="1" s="1"/>
  <c r="P73" i="1"/>
  <c r="P74" i="1"/>
  <c r="O73" i="1"/>
  <c r="O74" i="1"/>
  <c r="M73" i="1"/>
  <c r="N73" i="1"/>
  <c r="N74" i="1"/>
  <c r="P55" i="1"/>
  <c r="P56" i="1"/>
  <c r="P57" i="1"/>
  <c r="P58" i="1"/>
  <c r="P59" i="1"/>
  <c r="P60" i="1"/>
  <c r="P61" i="1"/>
  <c r="P62" i="1"/>
  <c r="P63" i="1"/>
  <c r="P64" i="1"/>
  <c r="P65" i="1"/>
  <c r="P66" i="1"/>
  <c r="P68" i="1"/>
  <c r="P69" i="1"/>
  <c r="P70" i="1"/>
  <c r="P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54" i="1"/>
  <c r="M53" i="1"/>
  <c r="M68" i="1"/>
  <c r="N68" i="1" s="1"/>
  <c r="M66" i="1"/>
  <c r="M64" i="1"/>
  <c r="M62" i="1"/>
  <c r="M61" i="1"/>
  <c r="M58" i="1"/>
  <c r="N58" i="1" s="1"/>
  <c r="M56" i="1"/>
  <c r="M54" i="1"/>
  <c r="N55" i="1"/>
  <c r="N56" i="1"/>
  <c r="N57" i="1"/>
  <c r="N59" i="1"/>
  <c r="N60" i="1"/>
  <c r="N61" i="1"/>
  <c r="N62" i="1"/>
  <c r="N63" i="1"/>
  <c r="N64" i="1"/>
  <c r="N65" i="1"/>
  <c r="N66" i="1"/>
  <c r="N67" i="1"/>
  <c r="N69" i="1"/>
  <c r="N70" i="1"/>
  <c r="N54" i="1"/>
  <c r="M51" i="1"/>
  <c r="N51" i="1"/>
  <c r="P47" i="1"/>
  <c r="P49" i="1"/>
  <c r="P48" i="1"/>
  <c r="O49" i="1"/>
  <c r="O48" i="1"/>
  <c r="M49" i="1"/>
  <c r="N49" i="1" s="1"/>
  <c r="N48" i="1"/>
  <c r="M34" i="1"/>
  <c r="M33" i="1"/>
  <c r="N34" i="1"/>
  <c r="N35" i="1"/>
  <c r="N36" i="1"/>
  <c r="N37" i="1"/>
  <c r="N38" i="1"/>
  <c r="N39" i="1"/>
  <c r="N33" i="1"/>
  <c r="N32" i="1" s="1"/>
  <c r="M32" i="1"/>
  <c r="P18" i="1"/>
  <c r="P20" i="1"/>
  <c r="P21" i="1"/>
  <c r="P22" i="1"/>
  <c r="P23" i="1"/>
  <c r="P24" i="1"/>
  <c r="P25" i="1"/>
  <c r="P26" i="1"/>
  <c r="P27" i="1"/>
  <c r="P28" i="1"/>
  <c r="P29" i="1"/>
  <c r="P30" i="1"/>
  <c r="P19" i="1"/>
  <c r="O20" i="1"/>
  <c r="O21" i="1"/>
  <c r="O22" i="1"/>
  <c r="O23" i="1"/>
  <c r="O24" i="1"/>
  <c r="O25" i="1"/>
  <c r="O26" i="1"/>
  <c r="O27" i="1"/>
  <c r="O28" i="1"/>
  <c r="O29" i="1"/>
  <c r="O30" i="1"/>
  <c r="O19" i="1"/>
  <c r="M30" i="1"/>
  <c r="M29" i="1"/>
  <c r="M28" i="1"/>
  <c r="M27" i="1"/>
  <c r="N27" i="1" s="1"/>
  <c r="M25" i="1"/>
  <c r="N25" i="1" s="1"/>
  <c r="M24" i="1"/>
  <c r="N24" i="1" s="1"/>
  <c r="M23" i="1"/>
  <c r="N23" i="1" s="1"/>
  <c r="M22" i="1"/>
  <c r="M21" i="1"/>
  <c r="N21" i="1" s="1"/>
  <c r="M20" i="1"/>
  <c r="M19" i="1"/>
  <c r="N19" i="1" s="1"/>
  <c r="N20" i="1"/>
  <c r="N22" i="1"/>
  <c r="N26" i="1"/>
  <c r="N28" i="1"/>
  <c r="N29" i="1"/>
  <c r="N30" i="1"/>
  <c r="O15" i="1"/>
  <c r="N15" i="1"/>
  <c r="M15" i="1"/>
  <c r="P15" i="1"/>
  <c r="P14" i="1"/>
  <c r="O14" i="1"/>
  <c r="N14" i="1"/>
  <c r="N13" i="1" s="1"/>
  <c r="P12" i="1"/>
  <c r="O12" i="1"/>
  <c r="M12" i="1"/>
  <c r="N12" i="1"/>
  <c r="L12" i="1"/>
  <c r="P10" i="1"/>
  <c r="P11" i="1"/>
  <c r="P9" i="1"/>
  <c r="O11" i="1"/>
  <c r="O9" i="1"/>
  <c r="N10" i="1"/>
  <c r="O10" i="1" s="1"/>
  <c r="N11" i="1"/>
  <c r="N9" i="1"/>
  <c r="M8" i="1"/>
  <c r="N7" i="1"/>
  <c r="P7" i="1" s="1"/>
  <c r="I38" i="1"/>
  <c r="G23" i="1"/>
  <c r="H113" i="1"/>
  <c r="J113" i="1" s="1"/>
  <c r="L113" i="1" s="1"/>
  <c r="L105" i="1"/>
  <c r="K78" i="1"/>
  <c r="L78" i="1"/>
  <c r="K75" i="1"/>
  <c r="L67" i="1"/>
  <c r="K51" i="1"/>
  <c r="L51" i="1"/>
  <c r="I83" i="1"/>
  <c r="I78" i="1"/>
  <c r="I75" i="1"/>
  <c r="I51" i="1"/>
  <c r="I32" i="1"/>
  <c r="I8" i="1"/>
  <c r="G101" i="1"/>
  <c r="G78" i="1"/>
  <c r="G75" i="1"/>
  <c r="G51" i="1"/>
  <c r="G24" i="1"/>
  <c r="G20" i="1"/>
  <c r="M101" i="1" l="1"/>
  <c r="N102" i="1"/>
  <c r="N101" i="1" s="1"/>
  <c r="M93" i="1"/>
  <c r="N95" i="1"/>
  <c r="N93" i="1"/>
  <c r="M83" i="1"/>
  <c r="N75" i="1"/>
  <c r="P72" i="1"/>
  <c r="O72" i="1"/>
  <c r="N71" i="1"/>
  <c r="M71" i="1"/>
  <c r="N53" i="1"/>
  <c r="M47" i="1"/>
  <c r="N47" i="1"/>
  <c r="M18" i="1"/>
  <c r="N18" i="1"/>
  <c r="M13" i="1"/>
  <c r="N8" i="1"/>
  <c r="O7" i="1"/>
  <c r="G10" i="1"/>
  <c r="G14" i="1"/>
  <c r="G13" i="1" s="1"/>
  <c r="G7" i="1"/>
  <c r="G8" i="1" s="1"/>
  <c r="F92" i="1"/>
  <c r="G92" i="1" s="1"/>
  <c r="H92" i="1" s="1"/>
  <c r="I92" i="1" s="1"/>
  <c r="J92" i="1" s="1"/>
  <c r="K92" i="1" s="1"/>
  <c r="L92" i="1" s="1"/>
  <c r="E30" i="1"/>
  <c r="E18" i="1" s="1"/>
  <c r="E101" i="1"/>
  <c r="E93" i="1"/>
  <c r="E83" i="1"/>
  <c r="O83" i="1"/>
  <c r="O80" i="1"/>
  <c r="E80" i="1"/>
  <c r="E78" i="1"/>
  <c r="E75" i="1"/>
  <c r="E71" i="1"/>
  <c r="E53" i="1"/>
  <c r="E51" i="1"/>
  <c r="E47" i="1"/>
  <c r="E32" i="1"/>
  <c r="E13" i="1"/>
  <c r="E8" i="1"/>
  <c r="E12" i="1" s="1"/>
  <c r="F105" i="1"/>
  <c r="F104" i="1"/>
  <c r="F103" i="1"/>
  <c r="F102" i="1"/>
  <c r="H102" i="1" s="1"/>
  <c r="I102" i="1" s="1"/>
  <c r="J102" i="1" s="1"/>
  <c r="K102" i="1" s="1"/>
  <c r="F99" i="1"/>
  <c r="F98" i="1"/>
  <c r="H98" i="1" s="1"/>
  <c r="J98" i="1" s="1"/>
  <c r="L98" i="1" s="1"/>
  <c r="F97" i="1"/>
  <c r="F96" i="1"/>
  <c r="F95" i="1"/>
  <c r="G95" i="1" s="1"/>
  <c r="F94" i="1"/>
  <c r="F84" i="1"/>
  <c r="F82" i="1"/>
  <c r="G82" i="1" s="1"/>
  <c r="H82" i="1" s="1"/>
  <c r="I82" i="1" s="1"/>
  <c r="J82" i="1" s="1"/>
  <c r="F81" i="1"/>
  <c r="G81" i="1" s="1"/>
  <c r="F79" i="1"/>
  <c r="F77" i="1"/>
  <c r="F76" i="1"/>
  <c r="F74" i="1"/>
  <c r="F73" i="1"/>
  <c r="F72" i="1"/>
  <c r="G72" i="1" s="1"/>
  <c r="F70" i="1"/>
  <c r="F69" i="1"/>
  <c r="F68" i="1"/>
  <c r="F66" i="1"/>
  <c r="F65" i="1"/>
  <c r="F64" i="1"/>
  <c r="G64" i="1" s="1"/>
  <c r="F63" i="1"/>
  <c r="F62" i="1"/>
  <c r="F61" i="1"/>
  <c r="F60" i="1"/>
  <c r="F59" i="1"/>
  <c r="F58" i="1"/>
  <c r="F57" i="1"/>
  <c r="F56" i="1"/>
  <c r="F55" i="1"/>
  <c r="F54" i="1"/>
  <c r="F52" i="1"/>
  <c r="F49" i="1"/>
  <c r="F48" i="1"/>
  <c r="F39" i="1"/>
  <c r="H39" i="1" s="1"/>
  <c r="J39" i="1" s="1"/>
  <c r="L39" i="1" s="1"/>
  <c r="F38" i="1"/>
  <c r="G38" i="1" s="1"/>
  <c r="F37" i="1"/>
  <c r="G37" i="1" s="1"/>
  <c r="H37" i="1" s="1"/>
  <c r="J37" i="1" s="1"/>
  <c r="F36" i="1"/>
  <c r="F35" i="1"/>
  <c r="G35" i="1" s="1"/>
  <c r="H35" i="1" s="1"/>
  <c r="J35" i="1" s="1"/>
  <c r="F34" i="1"/>
  <c r="F33" i="1"/>
  <c r="G33" i="1" s="1"/>
  <c r="F29" i="1"/>
  <c r="G29" i="1" s="1"/>
  <c r="F28" i="1"/>
  <c r="G28" i="1" s="1"/>
  <c r="F27" i="1"/>
  <c r="G27" i="1" s="1"/>
  <c r="F26" i="1"/>
  <c r="F25" i="1"/>
  <c r="H25" i="1" s="1"/>
  <c r="J25" i="1" s="1"/>
  <c r="L25" i="1" s="1"/>
  <c r="F24" i="1"/>
  <c r="H24" i="1" s="1"/>
  <c r="I24" i="1" s="1"/>
  <c r="J24" i="1" s="1"/>
  <c r="K24" i="1" s="1"/>
  <c r="L24" i="1" s="1"/>
  <c r="F23" i="1"/>
  <c r="H23" i="1" s="1"/>
  <c r="J23" i="1" s="1"/>
  <c r="K23" i="1" s="1"/>
  <c r="L23" i="1" s="1"/>
  <c r="F22" i="1"/>
  <c r="G22" i="1" s="1"/>
  <c r="F21" i="1"/>
  <c r="G21" i="1" s="1"/>
  <c r="F20" i="1"/>
  <c r="H20" i="1" s="1"/>
  <c r="I20" i="1" s="1"/>
  <c r="J20" i="1" s="1"/>
  <c r="K20" i="1" s="1"/>
  <c r="L20" i="1" s="1"/>
  <c r="F19" i="1"/>
  <c r="G19" i="1" s="1"/>
  <c r="F14" i="1"/>
  <c r="F13" i="1" s="1"/>
  <c r="F11" i="1"/>
  <c r="F10" i="1"/>
  <c r="F9" i="1"/>
  <c r="F7" i="1"/>
  <c r="D112" i="1"/>
  <c r="C105" i="1"/>
  <c r="C104" i="1"/>
  <c r="C103" i="1"/>
  <c r="D102" i="1"/>
  <c r="C99" i="1"/>
  <c r="C98" i="1"/>
  <c r="C97" i="1"/>
  <c r="C96" i="1"/>
  <c r="C95" i="1"/>
  <c r="C94" i="1"/>
  <c r="D93" i="1"/>
  <c r="C92" i="1"/>
  <c r="C84" i="1"/>
  <c r="C83" i="1" s="1"/>
  <c r="D83" i="1"/>
  <c r="C82" i="1"/>
  <c r="C81" i="1"/>
  <c r="D80" i="1"/>
  <c r="D79" i="1"/>
  <c r="D78" i="1" s="1"/>
  <c r="C78" i="1"/>
  <c r="C77" i="1"/>
  <c r="C76" i="1"/>
  <c r="D75" i="1"/>
  <c r="C74" i="1"/>
  <c r="C73" i="1"/>
  <c r="C72" i="1"/>
  <c r="D71" i="1"/>
  <c r="C70" i="1"/>
  <c r="C69" i="1"/>
  <c r="D68" i="1"/>
  <c r="D66" i="1"/>
  <c r="C65" i="1"/>
  <c r="D64" i="1"/>
  <c r="C63" i="1"/>
  <c r="D62" i="1"/>
  <c r="D61" i="1"/>
  <c r="C60" i="1"/>
  <c r="C59" i="1"/>
  <c r="D58" i="1"/>
  <c r="D57" i="1"/>
  <c r="D56" i="1"/>
  <c r="C55" i="1"/>
  <c r="C54" i="1"/>
  <c r="C52" i="1"/>
  <c r="C51" i="1" s="1"/>
  <c r="D51" i="1"/>
  <c r="C49" i="1"/>
  <c r="C48" i="1"/>
  <c r="D47" i="1"/>
  <c r="C39" i="1"/>
  <c r="C38" i="1"/>
  <c r="D37" i="1"/>
  <c r="C36" i="1"/>
  <c r="D35" i="1"/>
  <c r="C34" i="1"/>
  <c r="D34" i="1" s="1"/>
  <c r="D33" i="1"/>
  <c r="C30" i="1"/>
  <c r="D30" i="1" s="1"/>
  <c r="C29" i="1"/>
  <c r="D29" i="1" s="1"/>
  <c r="C28" i="1"/>
  <c r="D28" i="1" s="1"/>
  <c r="C27" i="1"/>
  <c r="D27" i="1" s="1"/>
  <c r="C26" i="1"/>
  <c r="D25" i="1"/>
  <c r="D24" i="1"/>
  <c r="D23" i="1"/>
  <c r="D22" i="1"/>
  <c r="D21" i="1"/>
  <c r="C20" i="1"/>
  <c r="D20" i="1" s="1"/>
  <c r="C19" i="1"/>
  <c r="D19" i="1" s="1"/>
  <c r="C11" i="1"/>
  <c r="C10" i="1"/>
  <c r="C9" i="1"/>
  <c r="D8" i="1"/>
  <c r="D14" i="1" s="1"/>
  <c r="C7" i="1"/>
  <c r="C8" i="1" s="1"/>
  <c r="G73" i="1" l="1"/>
  <c r="H73" i="1" s="1"/>
  <c r="I73" i="1" s="1"/>
  <c r="J73" i="1" s="1"/>
  <c r="K73" i="1" s="1"/>
  <c r="L73" i="1" s="1"/>
  <c r="D114" i="1"/>
  <c r="K82" i="1"/>
  <c r="L82" i="1" s="1"/>
  <c r="K35" i="1"/>
  <c r="L35" i="1" s="1"/>
  <c r="K37" i="1"/>
  <c r="L37" i="1" s="1"/>
  <c r="O39" i="1"/>
  <c r="H14" i="1"/>
  <c r="H13" i="1" s="1"/>
  <c r="D101" i="1"/>
  <c r="C21" i="1"/>
  <c r="C22" i="1"/>
  <c r="C24" i="1"/>
  <c r="C23" i="1"/>
  <c r="H9" i="1"/>
  <c r="J9" i="1" s="1"/>
  <c r="L9" i="1" s="1"/>
  <c r="H29" i="1"/>
  <c r="I29" i="1" s="1"/>
  <c r="J29" i="1" s="1"/>
  <c r="H81" i="1"/>
  <c r="G80" i="1"/>
  <c r="H95" i="1"/>
  <c r="I95" i="1" s="1"/>
  <c r="J95" i="1" s="1"/>
  <c r="K95" i="1" s="1"/>
  <c r="L95" i="1" s="1"/>
  <c r="G93" i="1"/>
  <c r="H28" i="1"/>
  <c r="H64" i="1"/>
  <c r="I64" i="1" s="1"/>
  <c r="J64" i="1" s="1"/>
  <c r="K64" i="1" s="1"/>
  <c r="L64" i="1" s="1"/>
  <c r="H105" i="1"/>
  <c r="J105" i="1" s="1"/>
  <c r="G66" i="1"/>
  <c r="H66" i="1" s="1"/>
  <c r="I66" i="1" s="1"/>
  <c r="J66" i="1" s="1"/>
  <c r="F83" i="1"/>
  <c r="G84" i="1"/>
  <c r="G68" i="1"/>
  <c r="H68" i="1" s="1"/>
  <c r="I68" i="1" s="1"/>
  <c r="J68" i="1" s="1"/>
  <c r="H96" i="1"/>
  <c r="J96" i="1" s="1"/>
  <c r="L96" i="1" s="1"/>
  <c r="H27" i="1"/>
  <c r="G58" i="1"/>
  <c r="H58" i="1" s="1"/>
  <c r="I58" i="1" s="1"/>
  <c r="J58" i="1" s="1"/>
  <c r="K58" i="1" s="1"/>
  <c r="L58" i="1" s="1"/>
  <c r="H72" i="1"/>
  <c r="I72" i="1" s="1"/>
  <c r="G71" i="1"/>
  <c r="H97" i="1"/>
  <c r="I97" i="1" s="1"/>
  <c r="J97" i="1" s="1"/>
  <c r="K97" i="1" s="1"/>
  <c r="H99" i="1"/>
  <c r="J99" i="1" s="1"/>
  <c r="L99" i="1" s="1"/>
  <c r="G61" i="1"/>
  <c r="H61" i="1" s="1"/>
  <c r="I61" i="1" s="1"/>
  <c r="J61" i="1" s="1"/>
  <c r="K61" i="1" s="1"/>
  <c r="L61" i="1" s="1"/>
  <c r="H76" i="1"/>
  <c r="J76" i="1" s="1"/>
  <c r="L76" i="1" s="1"/>
  <c r="F78" i="1"/>
  <c r="P78" i="1" s="1"/>
  <c r="H79" i="1"/>
  <c r="H104" i="1"/>
  <c r="J104" i="1" s="1"/>
  <c r="L104" i="1" s="1"/>
  <c r="H94" i="1"/>
  <c r="J94" i="1" s="1"/>
  <c r="L94" i="1" s="1"/>
  <c r="H26" i="1"/>
  <c r="J26" i="1" s="1"/>
  <c r="L26" i="1" s="1"/>
  <c r="G62" i="1"/>
  <c r="H62" i="1" s="1"/>
  <c r="I62" i="1" s="1"/>
  <c r="J62" i="1" s="1"/>
  <c r="K62" i="1" s="1"/>
  <c r="L62" i="1" s="1"/>
  <c r="H77" i="1"/>
  <c r="J77" i="1" s="1"/>
  <c r="L77" i="1" s="1"/>
  <c r="H103" i="1"/>
  <c r="J103" i="1" s="1"/>
  <c r="L103" i="1" s="1"/>
  <c r="H74" i="1"/>
  <c r="H38" i="1"/>
  <c r="J38" i="1" s="1"/>
  <c r="K38" i="1" s="1"/>
  <c r="L38" i="1" s="1"/>
  <c r="G49" i="1"/>
  <c r="H49" i="1" s="1"/>
  <c r="H36" i="1"/>
  <c r="J36" i="1" s="1"/>
  <c r="L36" i="1" s="1"/>
  <c r="H59" i="1"/>
  <c r="J59" i="1" s="1"/>
  <c r="L59" i="1" s="1"/>
  <c r="H65" i="1"/>
  <c r="J65" i="1" s="1"/>
  <c r="L65" i="1" s="1"/>
  <c r="H55" i="1"/>
  <c r="J55" i="1" s="1"/>
  <c r="L55" i="1" s="1"/>
  <c r="P52" i="1"/>
  <c r="H52" i="1"/>
  <c r="H22" i="1"/>
  <c r="H21" i="1"/>
  <c r="I21" i="1" s="1"/>
  <c r="J21" i="1" s="1"/>
  <c r="K21" i="1" s="1"/>
  <c r="L21" i="1" s="1"/>
  <c r="H33" i="1"/>
  <c r="J33" i="1" s="1"/>
  <c r="K33" i="1" s="1"/>
  <c r="G56" i="1"/>
  <c r="H56" i="1" s="1"/>
  <c r="I56" i="1" s="1"/>
  <c r="H69" i="1"/>
  <c r="J69" i="1" s="1"/>
  <c r="K69" i="1" s="1"/>
  <c r="L69" i="1" s="1"/>
  <c r="H19" i="1"/>
  <c r="I19" i="1" s="1"/>
  <c r="H10" i="1"/>
  <c r="I10" i="1" s="1"/>
  <c r="H60" i="1"/>
  <c r="J60" i="1" s="1"/>
  <c r="L60" i="1" s="1"/>
  <c r="G48" i="1"/>
  <c r="F47" i="1"/>
  <c r="H63" i="1"/>
  <c r="J63" i="1" s="1"/>
  <c r="L63" i="1" s="1"/>
  <c r="H54" i="1"/>
  <c r="G34" i="1"/>
  <c r="H34" i="1" s="1"/>
  <c r="J34" i="1" s="1"/>
  <c r="G57" i="1"/>
  <c r="H57" i="1" s="1"/>
  <c r="I57" i="1" s="1"/>
  <c r="J57" i="1" s="1"/>
  <c r="H70" i="1"/>
  <c r="J70" i="1" s="1"/>
  <c r="L70" i="1" s="1"/>
  <c r="H11" i="1"/>
  <c r="J11" i="1" s="1"/>
  <c r="G12" i="1"/>
  <c r="G15" i="1" s="1"/>
  <c r="H7" i="1"/>
  <c r="F71" i="1"/>
  <c r="C80" i="1"/>
  <c r="C12" i="1"/>
  <c r="C47" i="1"/>
  <c r="C71" i="1"/>
  <c r="C32" i="1"/>
  <c r="F8" i="1"/>
  <c r="F12" i="1" s="1"/>
  <c r="D12" i="1"/>
  <c r="C93" i="1"/>
  <c r="C14" i="1"/>
  <c r="C13" i="1" s="1"/>
  <c r="D13" i="1" s="1"/>
  <c r="F80" i="1"/>
  <c r="O79" i="1"/>
  <c r="O78" i="1" s="1"/>
  <c r="C101" i="1"/>
  <c r="F30" i="1"/>
  <c r="F18" i="1" s="1"/>
  <c r="D53" i="1"/>
  <c r="C75" i="1"/>
  <c r="F75" i="1"/>
  <c r="D18" i="1"/>
  <c r="F51" i="1"/>
  <c r="P51" i="1" s="1"/>
  <c r="D32" i="1"/>
  <c r="P79" i="1"/>
  <c r="O52" i="1"/>
  <c r="O51" i="1" s="1"/>
  <c r="C53" i="1"/>
  <c r="F101" i="1"/>
  <c r="F93" i="1"/>
  <c r="P93" i="1" s="1"/>
  <c r="F53" i="1"/>
  <c r="E106" i="1"/>
  <c r="F32" i="1"/>
  <c r="E15" i="1"/>
  <c r="O37" i="1" l="1"/>
  <c r="L97" i="1"/>
  <c r="L93" i="1" s="1"/>
  <c r="K93" i="1"/>
  <c r="C18" i="1"/>
  <c r="C106" i="1" s="1"/>
  <c r="L75" i="1"/>
  <c r="K68" i="1"/>
  <c r="L68" i="1" s="1"/>
  <c r="I14" i="1"/>
  <c r="O35" i="1"/>
  <c r="K34" i="1"/>
  <c r="K32" i="1" s="1"/>
  <c r="K29" i="1"/>
  <c r="L29" i="1" s="1"/>
  <c r="O36" i="1"/>
  <c r="K66" i="1"/>
  <c r="L66" i="1" s="1"/>
  <c r="O38" i="1"/>
  <c r="L11" i="1"/>
  <c r="L33" i="1"/>
  <c r="K57" i="1"/>
  <c r="L57" i="1" s="1"/>
  <c r="P77" i="1"/>
  <c r="P76" i="1"/>
  <c r="J72" i="1"/>
  <c r="J19" i="1"/>
  <c r="I93" i="1"/>
  <c r="H101" i="1"/>
  <c r="J75" i="1"/>
  <c r="P75" i="1" s="1"/>
  <c r="H51" i="1"/>
  <c r="J52" i="1"/>
  <c r="J51" i="1" s="1"/>
  <c r="I28" i="1"/>
  <c r="J28" i="1" s="1"/>
  <c r="H78" i="1"/>
  <c r="J79" i="1"/>
  <c r="J78" i="1" s="1"/>
  <c r="J56" i="1"/>
  <c r="I53" i="1"/>
  <c r="J32" i="1"/>
  <c r="H71" i="1"/>
  <c r="I74" i="1"/>
  <c r="J74" i="1" s="1"/>
  <c r="J10" i="1"/>
  <c r="I12" i="1"/>
  <c r="I27" i="1"/>
  <c r="J27" i="1" s="1"/>
  <c r="K27" i="1" s="1"/>
  <c r="L27" i="1" s="1"/>
  <c r="H80" i="1"/>
  <c r="I81" i="1"/>
  <c r="H53" i="1"/>
  <c r="J54" i="1"/>
  <c r="H8" i="1"/>
  <c r="H12" i="1" s="1"/>
  <c r="H15" i="1" s="1"/>
  <c r="J7" i="1"/>
  <c r="K7" i="1" s="1"/>
  <c r="I22" i="1"/>
  <c r="I49" i="1"/>
  <c r="J49" i="1" s="1"/>
  <c r="G32" i="1"/>
  <c r="H75" i="1"/>
  <c r="G53" i="1"/>
  <c r="F106" i="1"/>
  <c r="G47" i="1"/>
  <c r="H93" i="1"/>
  <c r="H84" i="1"/>
  <c r="G83" i="1"/>
  <c r="G30" i="1"/>
  <c r="G18" i="1" s="1"/>
  <c r="H48" i="1"/>
  <c r="H32" i="1"/>
  <c r="D106" i="1"/>
  <c r="D15" i="1"/>
  <c r="C15" i="1"/>
  <c r="F15" i="1"/>
  <c r="E108" i="1"/>
  <c r="E116" i="1" s="1"/>
  <c r="O93" i="1" l="1"/>
  <c r="L34" i="1"/>
  <c r="H30" i="1"/>
  <c r="I30" i="1" s="1"/>
  <c r="I18" i="1" s="1"/>
  <c r="K72" i="1"/>
  <c r="I13" i="1"/>
  <c r="J14" i="1"/>
  <c r="I15" i="1"/>
  <c r="K74" i="1"/>
  <c r="L74" i="1" s="1"/>
  <c r="O75" i="1"/>
  <c r="K49" i="1"/>
  <c r="L49" i="1" s="1"/>
  <c r="L7" i="1"/>
  <c r="K8" i="1"/>
  <c r="K19" i="1"/>
  <c r="L19" i="1" s="1"/>
  <c r="K56" i="1"/>
  <c r="L56" i="1" s="1"/>
  <c r="K54" i="1"/>
  <c r="K28" i="1"/>
  <c r="L28" i="1" s="1"/>
  <c r="O33" i="1"/>
  <c r="K10" i="1"/>
  <c r="L10" i="1" s="1"/>
  <c r="J53" i="1"/>
  <c r="P53" i="1" s="1"/>
  <c r="J8" i="1"/>
  <c r="J93" i="1"/>
  <c r="J22" i="1"/>
  <c r="K22" i="1" s="1"/>
  <c r="L22" i="1" s="1"/>
  <c r="H83" i="1"/>
  <c r="J84" i="1"/>
  <c r="G106" i="1"/>
  <c r="G108" i="1" s="1"/>
  <c r="G116" i="1" s="1"/>
  <c r="I71" i="1"/>
  <c r="H47" i="1"/>
  <c r="I48" i="1"/>
  <c r="J81" i="1"/>
  <c r="I80" i="1"/>
  <c r="J71" i="1"/>
  <c r="D108" i="1"/>
  <c r="C108" i="1"/>
  <c r="F108" i="1"/>
  <c r="H18" i="1" l="1"/>
  <c r="H106" i="1" s="1"/>
  <c r="H108" i="1" s="1"/>
  <c r="H116" i="1" s="1"/>
  <c r="K12" i="1"/>
  <c r="O34" i="1"/>
  <c r="O32" i="1" s="1"/>
  <c r="L32" i="1"/>
  <c r="K53" i="1"/>
  <c r="L54" i="1"/>
  <c r="L53" i="1" s="1"/>
  <c r="J83" i="1"/>
  <c r="K84" i="1"/>
  <c r="K83" i="1" s="1"/>
  <c r="J80" i="1"/>
  <c r="K81" i="1"/>
  <c r="K80" i="1" s="1"/>
  <c r="K14" i="1"/>
  <c r="K13" i="1" s="1"/>
  <c r="O13" i="1"/>
  <c r="J13" i="1"/>
  <c r="K71" i="1"/>
  <c r="L72" i="1"/>
  <c r="O8" i="1"/>
  <c r="L8" i="1"/>
  <c r="J12" i="1"/>
  <c r="D116" i="1"/>
  <c r="J48" i="1"/>
  <c r="I47" i="1"/>
  <c r="J30" i="1"/>
  <c r="K30" i="1" s="1"/>
  <c r="L30" i="1" s="1"/>
  <c r="F116" i="1"/>
  <c r="L81" i="1" l="1"/>
  <c r="L80" i="1" s="1"/>
  <c r="K15" i="1"/>
  <c r="K18" i="1"/>
  <c r="L14" i="1"/>
  <c r="L13" i="1" s="1"/>
  <c r="P13" i="1" s="1"/>
  <c r="O53" i="1"/>
  <c r="L84" i="1"/>
  <c r="L83" i="1" s="1"/>
  <c r="O71" i="1"/>
  <c r="L71" i="1"/>
  <c r="P71" i="1" s="1"/>
  <c r="K48" i="1"/>
  <c r="K47" i="1" s="1"/>
  <c r="P8" i="1"/>
  <c r="O18" i="1"/>
  <c r="L18" i="1"/>
  <c r="J18" i="1"/>
  <c r="J47" i="1"/>
  <c r="J15" i="1"/>
  <c r="P116" i="1"/>
  <c r="I101" i="1"/>
  <c r="I106" i="1" s="1"/>
  <c r="I108" i="1" s="1"/>
  <c r="I116" i="1" s="1"/>
  <c r="J101" i="1"/>
  <c r="L15" i="1" l="1"/>
  <c r="L48" i="1"/>
  <c r="J106" i="1"/>
  <c r="P106" i="1" s="1"/>
  <c r="L47" i="1" l="1"/>
  <c r="O47" i="1"/>
  <c r="J108" i="1"/>
  <c r="K101" i="1"/>
  <c r="K106" i="1" s="1"/>
  <c r="K108" i="1" s="1"/>
  <c r="K116" i="1" s="1"/>
  <c r="L102" i="1"/>
  <c r="P108" i="1" l="1"/>
  <c r="J116" i="1"/>
  <c r="L101" i="1"/>
  <c r="O101" i="1"/>
  <c r="O106" i="1" s="1"/>
  <c r="O108" i="1" s="1"/>
  <c r="O116" i="1" s="1"/>
  <c r="L106" i="1" l="1"/>
  <c r="L108" i="1" s="1"/>
  <c r="L116" i="1" s="1"/>
  <c r="P101" i="1"/>
</calcChain>
</file>

<file path=xl/sharedStrings.xml><?xml version="1.0" encoding="utf-8"?>
<sst xmlns="http://schemas.openxmlformats.org/spreadsheetml/2006/main" count="142" uniqueCount="111">
  <si>
    <t>CONCEPTO</t>
  </si>
  <si>
    <t>INGRESOS OPERACIONALES</t>
  </si>
  <si>
    <t>PRESUPUESTO MENSUAL</t>
  </si>
  <si>
    <t>PRESUPUESTO ANUAL</t>
  </si>
  <si>
    <t>ENERO</t>
  </si>
  <si>
    <t>POR EJECUTAR</t>
  </si>
  <si>
    <t xml:space="preserve">% EJECUTADO </t>
  </si>
  <si>
    <t xml:space="preserve">Por solicitud de calificación (1.756 casos del 2026 por valor de $ 1.750.905 + 500 casos del 2025  por  1.423.500) , 190 casos mensuales </t>
  </si>
  <si>
    <t>OTROS INGRESOS</t>
  </si>
  <si>
    <t>Recuperacionespor casos no dictaminados*(15)</t>
  </si>
  <si>
    <t>Rendimiento financiero</t>
  </si>
  <si>
    <t xml:space="preserve">Diversos - </t>
  </si>
  <si>
    <t>TOTAL INGRESOS</t>
  </si>
  <si>
    <t>MENOS COSTO DE PRESTACION DE SERVICIO</t>
  </si>
  <si>
    <t>Honorarios de calificación (60% de  ingresos operacionales)</t>
  </si>
  <si>
    <t>DISPONIBLE PARA GASTOS ADMINISTRATIVOS</t>
  </si>
  <si>
    <t>GASTOS</t>
  </si>
  <si>
    <t>GASTOS DE PERSONAL</t>
  </si>
  <si>
    <t>Sueldos y Salarios</t>
  </si>
  <si>
    <t>Auxilio de Transporte</t>
  </si>
  <si>
    <t>Cesantias</t>
  </si>
  <si>
    <t>Intereses Sobre Cesantias</t>
  </si>
  <si>
    <t>Prima de Servicios</t>
  </si>
  <si>
    <t>Vacaciones</t>
  </si>
  <si>
    <t>Dotaciones</t>
  </si>
  <si>
    <t>Capacitaciones</t>
  </si>
  <si>
    <t>Aportes ARL</t>
  </si>
  <si>
    <t xml:space="preserve">Aportes Salud </t>
  </si>
  <si>
    <t xml:space="preserve">Aportes Pension </t>
  </si>
  <si>
    <t>Aportes Parafiscales</t>
  </si>
  <si>
    <t xml:space="preserve">HONORARIOS </t>
  </si>
  <si>
    <t>Revisoria Fiscal</t>
  </si>
  <si>
    <t>Asesoria Juridica (2)</t>
  </si>
  <si>
    <t>Contador</t>
  </si>
  <si>
    <t xml:space="preserve">Gestión de Calidad </t>
  </si>
  <si>
    <t>Gestión de seguridad y salud en el trabajo</t>
  </si>
  <si>
    <t>Asesoría en procedimientos de contratacion</t>
  </si>
  <si>
    <t>Asesoría en gestion documental</t>
  </si>
  <si>
    <t>ARRENDAMIENTO</t>
  </si>
  <si>
    <t>Oficinas</t>
  </si>
  <si>
    <t>Otros- Arriendos</t>
  </si>
  <si>
    <t>SEGURO</t>
  </si>
  <si>
    <t>poliza  seguro contra riesgo</t>
  </si>
  <si>
    <t>SERVICIOS</t>
  </si>
  <si>
    <t xml:space="preserve"> Aseo (corte de arboles, fumigación)</t>
  </si>
  <si>
    <t>Digitación de datos</t>
  </si>
  <si>
    <t>Asistencia apoyo juridico</t>
  </si>
  <si>
    <t>Vigilancia  electronica</t>
  </si>
  <si>
    <t>Acueducto, Alcanta. Y Aseo</t>
  </si>
  <si>
    <t>Implementos de seguridad  informatica</t>
  </si>
  <si>
    <t>Manual de marca empresarial</t>
  </si>
  <si>
    <t>Energía Electrica</t>
  </si>
  <si>
    <t>Telefono Fijo y Celular</t>
  </si>
  <si>
    <t>pagina web, hosting y dominio</t>
  </si>
  <si>
    <t>Correos, Portes y Mensajeria</t>
  </si>
  <si>
    <t>Transportes,Aereos y Terrestre</t>
  </si>
  <si>
    <t>Gas</t>
  </si>
  <si>
    <t>Custodia y adminsitración documental</t>
  </si>
  <si>
    <t>firma digital</t>
  </si>
  <si>
    <t xml:space="preserve">Otros </t>
  </si>
  <si>
    <t>MANTENIMIENTO Y REPARACIÓN</t>
  </si>
  <si>
    <t>Construcciones y edificaciones</t>
  </si>
  <si>
    <t>Equipo de oficina</t>
  </si>
  <si>
    <t>equipo de procesamiento de datos</t>
  </si>
  <si>
    <t>ADECUACION E INSTALACION</t>
  </si>
  <si>
    <t>Arreglos ornamentales</t>
  </si>
  <si>
    <t>instalaciones electricas y otros</t>
  </si>
  <si>
    <t>GASTOS DE VIAJE</t>
  </si>
  <si>
    <t>Pasajes y viaticos</t>
  </si>
  <si>
    <t>DEPRECIACIONES</t>
  </si>
  <si>
    <t>Equipo de computación</t>
  </si>
  <si>
    <t>AMORTIZACIONES</t>
  </si>
  <si>
    <t>Diferidos</t>
  </si>
  <si>
    <t>SISTEMA DE GESTION EN SALUD Y SEGURIDAD EN EL TRABAJO</t>
  </si>
  <si>
    <t>GASTOS DIVERSOS</t>
  </si>
  <si>
    <t>lbros, suscripciones</t>
  </si>
  <si>
    <t>Elementos de aseo y cafeteria</t>
  </si>
  <si>
    <t>Seminarios -capacitación integrantes</t>
  </si>
  <si>
    <t>Util. Papelería y Fotocopias</t>
  </si>
  <si>
    <t>Transporte</t>
  </si>
  <si>
    <t>otros</t>
  </si>
  <si>
    <t>GASTOS NO OPERACIONALES</t>
  </si>
  <si>
    <t>Gastos financieros</t>
  </si>
  <si>
    <t>Multas , sanciones y litigios</t>
  </si>
  <si>
    <t>Demandas judiciales</t>
  </si>
  <si>
    <t xml:space="preserve">Otros gastos </t>
  </si>
  <si>
    <t>TOTAL GASTOS</t>
  </si>
  <si>
    <t>REMANENTE ACUMULADO</t>
  </si>
  <si>
    <t>ACTIVOS  FIJOS</t>
  </si>
  <si>
    <t>Computadores (3)</t>
  </si>
  <si>
    <t>Sillas para archivo(4)</t>
  </si>
  <si>
    <t>Escaner(1)</t>
  </si>
  <si>
    <t>Total  Activos Fijos</t>
  </si>
  <si>
    <t>FEBRERO</t>
  </si>
  <si>
    <t xml:space="preserve">MARZO </t>
  </si>
  <si>
    <t>ABRIL</t>
  </si>
  <si>
    <t>SALDO ABRIL</t>
  </si>
  <si>
    <t xml:space="preserve">SALDO MARZO </t>
  </si>
  <si>
    <t>SALDO FEB</t>
  </si>
  <si>
    <t xml:space="preserve">SALDO ENERO </t>
  </si>
  <si>
    <t>Documentos electronicos y actualizacion de software</t>
  </si>
  <si>
    <t xml:space="preserve">DETALLE </t>
  </si>
  <si>
    <t xml:space="preserve">Cristo Rafael Sanchez Acosta </t>
  </si>
  <si>
    <t>Reinelda  De Jesús Fontalvo Franco</t>
  </si>
  <si>
    <t>José De Jesús Martínez Gutierrez</t>
  </si>
  <si>
    <t xml:space="preserve">Director Administrativo/Representante legal </t>
  </si>
  <si>
    <t>Contador TP 52518-T</t>
  </si>
  <si>
    <t>Revisor Fiscal TP 39104-T</t>
  </si>
  <si>
    <t>PRESUPUESTO  EJECUTADO  AÑO 2026</t>
  </si>
  <si>
    <t xml:space="preserve">MAYO </t>
  </si>
  <si>
    <t xml:space="preserve">SALDO MAYO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</si>
</sst>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9"/>
      <color rgb="FF00000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9"/>
      <color rgb="FF000000"/>
      <name val="Arial"/>
      <family val="2"/>
    </font>
    <font>
      <sz val="8"/>
      <color theme="1"/>
      <name val="Tahoma"/>
      <family val="2"/>
    </font>
    <font>
      <sz val="10"/>
      <name val="MS Sans Serif"/>
    </font>
    <font>
      <sz val="10"/>
      <name val="Aptos Narrow"/>
      <family val="2"/>
      <scheme val="minor"/>
    </font>
    <font>
      <sz val="10"/>
      <color rgb="FF00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rgb="FF000000"/>
      <name val="Calibri"/>
      <family val="2"/>
    </font>
    <font>
      <sz val="1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ACB9CA"/>
        <bgColor rgb="FF000000"/>
      </patternFill>
    </fill>
    <fill>
      <patternFill patternType="solid">
        <fgColor rgb="FFE7E6E6"/>
        <bgColor rgb="FF000000"/>
      </patternFill>
    </fill>
    <fill>
      <patternFill patternType="solid">
        <fgColor rgb="FFC9C9C9"/>
        <bgColor rgb="FF000000"/>
      </patternFill>
    </fill>
    <fill>
      <patternFill patternType="solid">
        <fgColor rgb="FFDDEBF7"/>
        <bgColor rgb="FF000000"/>
      </patternFill>
    </fill>
    <fill>
      <patternFill patternType="solid">
        <fgColor rgb="FFBFBFBF"/>
        <bgColor rgb="FF000000"/>
      </patternFill>
    </fill>
    <fill>
      <patternFill patternType="solid">
        <fgColor rgb="FFEDEDED"/>
        <bgColor rgb="FF000000"/>
      </patternFill>
    </fill>
  </fills>
  <borders count="4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2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0" fillId="0" borderId="0"/>
    <xf numFmtId="0" fontId="11" fillId="0" borderId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0" fillId="0" borderId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129">
    <xf numFmtId="0" fontId="0" fillId="0" borderId="0" xfId="0"/>
    <xf numFmtId="3" fontId="0" fillId="0" borderId="0" xfId="0" applyNumberFormat="1"/>
    <xf numFmtId="0" fontId="5" fillId="0" borderId="4" xfId="0" applyFont="1" applyBorder="1" applyAlignment="1">
      <alignment horizontal="center" vertical="center" wrapText="1"/>
    </xf>
    <xf numFmtId="3" fontId="5" fillId="0" borderId="3" xfId="0" applyNumberFormat="1" applyFont="1" applyBorder="1" applyAlignment="1">
      <alignment horizontal="right"/>
    </xf>
    <xf numFmtId="3" fontId="5" fillId="0" borderId="3" xfId="0" applyNumberFormat="1" applyFont="1" applyBorder="1"/>
    <xf numFmtId="0" fontId="3" fillId="4" borderId="1" xfId="0" applyFont="1" applyFill="1" applyBorder="1" applyAlignment="1">
      <alignment horizontal="center"/>
    </xf>
    <xf numFmtId="3" fontId="6" fillId="2" borderId="5" xfId="0" applyNumberFormat="1" applyFont="1" applyFill="1" applyBorder="1" applyAlignment="1">
      <alignment horizontal="right" vertical="center"/>
    </xf>
    <xf numFmtId="0" fontId="6" fillId="4" borderId="1" xfId="0" applyFont="1" applyFill="1" applyBorder="1" applyAlignment="1">
      <alignment horizontal="left"/>
    </xf>
    <xf numFmtId="0" fontId="4" fillId="5" borderId="1" xfId="0" applyFont="1" applyFill="1" applyBorder="1" applyAlignment="1">
      <alignment horizontal="left"/>
    </xf>
    <xf numFmtId="3" fontId="6" fillId="5" borderId="3" xfId="0" applyNumberFormat="1" applyFont="1" applyFill="1" applyBorder="1" applyAlignment="1">
      <alignment horizontal="right"/>
    </xf>
    <xf numFmtId="0" fontId="3" fillId="2" borderId="1" xfId="0" applyFont="1" applyFill="1" applyBorder="1" applyAlignment="1">
      <alignment horizontal="left" vertical="center"/>
    </xf>
    <xf numFmtId="0" fontId="6" fillId="0" borderId="4" xfId="0" applyFont="1" applyBorder="1" applyAlignment="1">
      <alignment horizontal="left"/>
    </xf>
    <xf numFmtId="0" fontId="5" fillId="0" borderId="3" xfId="0" applyFont="1" applyBorder="1"/>
    <xf numFmtId="0" fontId="3" fillId="3" borderId="1" xfId="0" applyFont="1" applyFill="1" applyBorder="1"/>
    <xf numFmtId="3" fontId="6" fillId="3" borderId="1" xfId="0" applyNumberFormat="1" applyFont="1" applyFill="1" applyBorder="1"/>
    <xf numFmtId="3" fontId="5" fillId="0" borderId="7" xfId="0" applyNumberFormat="1" applyFont="1" applyBorder="1" applyAlignment="1">
      <alignment horizontal="right"/>
    </xf>
    <xf numFmtId="3" fontId="5" fillId="0" borderId="7" xfId="0" applyNumberFormat="1" applyFont="1" applyBorder="1"/>
    <xf numFmtId="3" fontId="8" fillId="0" borderId="3" xfId="0" applyNumberFormat="1" applyFont="1" applyBorder="1"/>
    <xf numFmtId="0" fontId="8" fillId="0" borderId="3" xfId="0" applyFont="1" applyBorder="1"/>
    <xf numFmtId="0" fontId="6" fillId="4" borderId="10" xfId="0" applyFont="1" applyFill="1" applyBorder="1"/>
    <xf numFmtId="3" fontId="6" fillId="4" borderId="11" xfId="0" applyNumberFormat="1" applyFont="1" applyFill="1" applyBorder="1"/>
    <xf numFmtId="0" fontId="6" fillId="6" borderId="10" xfId="0" applyFont="1" applyFill="1" applyBorder="1"/>
    <xf numFmtId="3" fontId="6" fillId="6" borderId="11" xfId="0" applyNumberFormat="1" applyFont="1" applyFill="1" applyBorder="1"/>
    <xf numFmtId="3" fontId="5" fillId="0" borderId="12" xfId="0" applyNumberFormat="1" applyFont="1" applyBorder="1"/>
    <xf numFmtId="0" fontId="7" fillId="0" borderId="3" xfId="0" applyFont="1" applyBorder="1"/>
    <xf numFmtId="3" fontId="7" fillId="0" borderId="3" xfId="0" applyNumberFormat="1" applyFont="1" applyBorder="1"/>
    <xf numFmtId="4" fontId="8" fillId="0" borderId="3" xfId="0" applyNumberFormat="1" applyFont="1" applyBorder="1"/>
    <xf numFmtId="4" fontId="8" fillId="0" borderId="9" xfId="0" applyNumberFormat="1" applyFont="1" applyBorder="1"/>
    <xf numFmtId="0" fontId="5" fillId="0" borderId="4" xfId="0" applyFont="1" applyBorder="1" applyAlignment="1">
      <alignment horizontal="center" wrapText="1"/>
    </xf>
    <xf numFmtId="0" fontId="4" fillId="4" borderId="6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 wrapText="1"/>
    </xf>
    <xf numFmtId="164" fontId="0" fillId="0" borderId="0" xfId="1" applyNumberFormat="1" applyFont="1" applyFill="1" applyBorder="1"/>
    <xf numFmtId="164" fontId="0" fillId="0" borderId="0" xfId="1" applyNumberFormat="1" applyFont="1"/>
    <xf numFmtId="3" fontId="5" fillId="0" borderId="14" xfId="0" applyNumberFormat="1" applyFont="1" applyBorder="1"/>
    <xf numFmtId="3" fontId="6" fillId="5" borderId="14" xfId="0" applyNumberFormat="1" applyFont="1" applyFill="1" applyBorder="1"/>
    <xf numFmtId="3" fontId="5" fillId="0" borderId="15" xfId="0" applyNumberFormat="1" applyFont="1" applyBorder="1"/>
    <xf numFmtId="3" fontId="8" fillId="0" borderId="14" xfId="0" applyNumberFormat="1" applyFont="1" applyBorder="1"/>
    <xf numFmtId="3" fontId="6" fillId="4" borderId="2" xfId="0" applyNumberFormat="1" applyFont="1" applyFill="1" applyBorder="1"/>
    <xf numFmtId="3" fontId="6" fillId="6" borderId="2" xfId="0" applyNumberFormat="1" applyFont="1" applyFill="1" applyBorder="1"/>
    <xf numFmtId="3" fontId="5" fillId="0" borderId="0" xfId="0" applyNumberFormat="1" applyFont="1"/>
    <xf numFmtId="3" fontId="5" fillId="0" borderId="16" xfId="0" applyNumberFormat="1" applyFont="1" applyBorder="1"/>
    <xf numFmtId="4" fontId="8" fillId="0" borderId="14" xfId="0" applyNumberFormat="1" applyFont="1" applyBorder="1"/>
    <xf numFmtId="4" fontId="7" fillId="0" borderId="17" xfId="0" applyNumberFormat="1" applyFont="1" applyBorder="1"/>
    <xf numFmtId="9" fontId="0" fillId="0" borderId="0" xfId="2" applyFont="1"/>
    <xf numFmtId="9" fontId="5" fillId="0" borderId="0" xfId="2" applyFont="1" applyBorder="1"/>
    <xf numFmtId="164" fontId="4" fillId="4" borderId="7" xfId="1" applyNumberFormat="1" applyFont="1" applyFill="1" applyBorder="1" applyAlignment="1">
      <alignment horizontal="center" wrapText="1"/>
    </xf>
    <xf numFmtId="0" fontId="3" fillId="0" borderId="8" xfId="0" applyFont="1" applyBorder="1" applyAlignment="1">
      <alignment horizontal="center"/>
    </xf>
    <xf numFmtId="43" fontId="12" fillId="0" borderId="3" xfId="4" applyNumberFormat="1" applyFont="1" applyBorder="1"/>
    <xf numFmtId="4" fontId="13" fillId="0" borderId="3" xfId="7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164" fontId="0" fillId="0" borderId="2" xfId="1" applyNumberFormat="1" applyFont="1" applyFill="1" applyBorder="1"/>
    <xf numFmtId="164" fontId="0" fillId="0" borderId="2" xfId="1" applyNumberFormat="1" applyFont="1" applyBorder="1"/>
    <xf numFmtId="9" fontId="0" fillId="0" borderId="23" xfId="2" applyFont="1" applyBorder="1"/>
    <xf numFmtId="9" fontId="8" fillId="0" borderId="3" xfId="2" applyFont="1" applyBorder="1"/>
    <xf numFmtId="9" fontId="7" fillId="0" borderId="3" xfId="2" applyFont="1" applyBorder="1"/>
    <xf numFmtId="0" fontId="6" fillId="0" borderId="9" xfId="0" applyFont="1" applyBorder="1" applyAlignment="1">
      <alignment horizontal="center"/>
    </xf>
    <xf numFmtId="0" fontId="6" fillId="0" borderId="17" xfId="0" applyFont="1" applyBorder="1"/>
    <xf numFmtId="3" fontId="6" fillId="3" borderId="24" xfId="0" applyNumberFormat="1" applyFont="1" applyFill="1" applyBorder="1"/>
    <xf numFmtId="3" fontId="6" fillId="3" borderId="25" xfId="0" applyNumberFormat="1" applyFont="1" applyFill="1" applyBorder="1"/>
    <xf numFmtId="3" fontId="5" fillId="0" borderId="9" xfId="0" applyNumberFormat="1" applyFont="1" applyBorder="1"/>
    <xf numFmtId="3" fontId="5" fillId="0" borderId="17" xfId="0" applyNumberFormat="1" applyFont="1" applyBorder="1"/>
    <xf numFmtId="3" fontId="6" fillId="0" borderId="0" xfId="0" applyNumberFormat="1" applyFont="1"/>
    <xf numFmtId="43" fontId="12" fillId="0" borderId="7" xfId="4" applyNumberFormat="1" applyFont="1" applyBorder="1"/>
    <xf numFmtId="0" fontId="3" fillId="3" borderId="10" xfId="0" applyFont="1" applyFill="1" applyBorder="1"/>
    <xf numFmtId="3" fontId="5" fillId="0" borderId="0" xfId="0" applyNumberFormat="1" applyFont="1" applyAlignment="1">
      <alignment horizontal="right"/>
    </xf>
    <xf numFmtId="0" fontId="3" fillId="3" borderId="26" xfId="0" applyFont="1" applyFill="1" applyBorder="1"/>
    <xf numFmtId="3" fontId="6" fillId="3" borderId="27" xfId="0" applyNumberFormat="1" applyFont="1" applyFill="1" applyBorder="1"/>
    <xf numFmtId="3" fontId="6" fillId="3" borderId="28" xfId="0" applyNumberFormat="1" applyFont="1" applyFill="1" applyBorder="1"/>
    <xf numFmtId="9" fontId="6" fillId="3" borderId="29" xfId="2" applyFont="1" applyFill="1" applyBorder="1"/>
    <xf numFmtId="3" fontId="5" fillId="0" borderId="18" xfId="0" applyNumberFormat="1" applyFont="1" applyBorder="1"/>
    <xf numFmtId="0" fontId="2" fillId="7" borderId="30" xfId="0" applyFont="1" applyFill="1" applyBorder="1"/>
    <xf numFmtId="3" fontId="7" fillId="0" borderId="7" xfId="0" applyNumberFormat="1" applyFont="1" applyBorder="1"/>
    <xf numFmtId="3" fontId="7" fillId="0" borderId="15" xfId="0" applyNumberFormat="1" applyFont="1" applyBorder="1"/>
    <xf numFmtId="9" fontId="7" fillId="0" borderId="7" xfId="2" applyFont="1" applyBorder="1"/>
    <xf numFmtId="9" fontId="4" fillId="4" borderId="31" xfId="2" applyFont="1" applyFill="1" applyBorder="1" applyAlignment="1">
      <alignment horizontal="center" wrapText="1"/>
    </xf>
    <xf numFmtId="9" fontId="5" fillId="0" borderId="20" xfId="2" applyFont="1" applyBorder="1"/>
    <xf numFmtId="3" fontId="6" fillId="4" borderId="0" xfId="0" applyNumberFormat="1" applyFont="1" applyFill="1"/>
    <xf numFmtId="9" fontId="6" fillId="4" borderId="20" xfId="2" applyFont="1" applyFill="1" applyBorder="1"/>
    <xf numFmtId="0" fontId="5" fillId="0" borderId="19" xfId="0" applyFont="1" applyBorder="1"/>
    <xf numFmtId="9" fontId="6" fillId="5" borderId="20" xfId="2" applyFont="1" applyFill="1" applyBorder="1"/>
    <xf numFmtId="0" fontId="6" fillId="0" borderId="0" xfId="0" applyFont="1" applyAlignment="1">
      <alignment horizontal="left"/>
    </xf>
    <xf numFmtId="0" fontId="6" fillId="0" borderId="0" xfId="0" applyFont="1"/>
    <xf numFmtId="9" fontId="6" fillId="0" borderId="20" xfId="2" applyFont="1" applyBorder="1"/>
    <xf numFmtId="0" fontId="3" fillId="0" borderId="32" xfId="0" applyFont="1" applyBorder="1" applyAlignment="1">
      <alignment horizontal="center"/>
    </xf>
    <xf numFmtId="9" fontId="6" fillId="0" borderId="33" xfId="2" applyFont="1" applyBorder="1"/>
    <xf numFmtId="0" fontId="5" fillId="0" borderId="34" xfId="0" applyFont="1" applyBorder="1"/>
    <xf numFmtId="9" fontId="5" fillId="0" borderId="31" xfId="2" applyFont="1" applyBorder="1"/>
    <xf numFmtId="0" fontId="5" fillId="0" borderId="4" xfId="0" applyFont="1" applyBorder="1"/>
    <xf numFmtId="9" fontId="5" fillId="0" borderId="35" xfId="2" applyFont="1" applyBorder="1"/>
    <xf numFmtId="0" fontId="8" fillId="0" borderId="19" xfId="0" applyFont="1" applyBorder="1"/>
    <xf numFmtId="0" fontId="5" fillId="0" borderId="32" xfId="0" applyFont="1" applyBorder="1"/>
    <xf numFmtId="9" fontId="6" fillId="6" borderId="20" xfId="2" applyFont="1" applyFill="1" applyBorder="1"/>
    <xf numFmtId="0" fontId="5" fillId="0" borderId="36" xfId="0" applyFont="1" applyBorder="1"/>
    <xf numFmtId="0" fontId="9" fillId="0" borderId="19" xfId="0" applyFont="1" applyBorder="1"/>
    <xf numFmtId="0" fontId="9" fillId="0" borderId="4" xfId="0" applyFont="1" applyBorder="1"/>
    <xf numFmtId="0" fontId="6" fillId="0" borderId="4" xfId="0" applyFont="1" applyBorder="1"/>
    <xf numFmtId="0" fontId="8" fillId="0" borderId="19" xfId="0" applyFont="1" applyBorder="1" applyAlignment="1">
      <alignment wrapText="1"/>
    </xf>
    <xf numFmtId="0" fontId="8" fillId="0" borderId="32" xfId="0" applyFont="1" applyBorder="1" applyAlignment="1">
      <alignment wrapText="1"/>
    </xf>
    <xf numFmtId="0" fontId="8" fillId="0" borderId="21" xfId="0" applyFont="1" applyBorder="1"/>
    <xf numFmtId="4" fontId="8" fillId="0" borderId="13" xfId="0" applyNumberFormat="1" applyFont="1" applyBorder="1"/>
    <xf numFmtId="4" fontId="8" fillId="0" borderId="37" xfId="0" applyNumberFormat="1" applyFont="1" applyBorder="1"/>
    <xf numFmtId="9" fontId="8" fillId="0" borderId="22" xfId="2" applyFont="1" applyBorder="1"/>
    <xf numFmtId="0" fontId="7" fillId="0" borderId="0" xfId="0" applyFont="1"/>
    <xf numFmtId="3" fontId="7" fillId="0" borderId="0" xfId="0" applyNumberFormat="1" applyFont="1"/>
    <xf numFmtId="9" fontId="7" fillId="0" borderId="0" xfId="2" applyFont="1" applyBorder="1"/>
    <xf numFmtId="3" fontId="6" fillId="6" borderId="3" xfId="0" applyNumberFormat="1" applyFont="1" applyFill="1" applyBorder="1"/>
    <xf numFmtId="3" fontId="6" fillId="3" borderId="38" xfId="0" applyNumberFormat="1" applyFont="1" applyFill="1" applyBorder="1"/>
    <xf numFmtId="0" fontId="3" fillId="3" borderId="39" xfId="0" applyFont="1" applyFill="1" applyBorder="1"/>
    <xf numFmtId="3" fontId="6" fillId="3" borderId="40" xfId="0" applyNumberFormat="1" applyFont="1" applyFill="1" applyBorder="1"/>
    <xf numFmtId="0" fontId="4" fillId="4" borderId="3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 wrapText="1"/>
    </xf>
    <xf numFmtId="164" fontId="4" fillId="4" borderId="3" xfId="1" applyNumberFormat="1" applyFont="1" applyFill="1" applyBorder="1" applyAlignment="1">
      <alignment horizontal="center" wrapText="1"/>
    </xf>
    <xf numFmtId="9" fontId="4" fillId="4" borderId="3" xfId="2" applyFont="1" applyFill="1" applyBorder="1" applyAlignment="1">
      <alignment horizontal="center" wrapText="1"/>
    </xf>
    <xf numFmtId="9" fontId="5" fillId="0" borderId="3" xfId="2" applyFont="1" applyBorder="1"/>
    <xf numFmtId="0" fontId="5" fillId="0" borderId="0" xfId="0" applyFont="1"/>
    <xf numFmtId="0" fontId="6" fillId="6" borderId="26" xfId="0" applyFont="1" applyFill="1" applyBorder="1"/>
    <xf numFmtId="3" fontId="6" fillId="6" borderId="41" xfId="0" applyNumberFormat="1" applyFont="1" applyFill="1" applyBorder="1"/>
    <xf numFmtId="3" fontId="6" fillId="6" borderId="42" xfId="0" applyNumberFormat="1" applyFont="1" applyFill="1" applyBorder="1"/>
    <xf numFmtId="9" fontId="6" fillId="6" borderId="33" xfId="2" applyFont="1" applyFill="1" applyBorder="1"/>
    <xf numFmtId="0" fontId="4" fillId="4" borderId="7" xfId="0" applyFont="1" applyFill="1" applyBorder="1" applyAlignment="1">
      <alignment horizontal="center"/>
    </xf>
    <xf numFmtId="0" fontId="14" fillId="0" borderId="0" xfId="0" applyFont="1"/>
    <xf numFmtId="164" fontId="14" fillId="0" borderId="0" xfId="1" applyNumberFormat="1" applyFont="1"/>
    <xf numFmtId="4" fontId="15" fillId="0" borderId="0" xfId="0" applyNumberFormat="1" applyFont="1" applyAlignment="1">
      <alignment vertical="center"/>
    </xf>
    <xf numFmtId="43" fontId="12" fillId="0" borderId="0" xfId="4" applyNumberFormat="1" applyFont="1"/>
    <xf numFmtId="4" fontId="16" fillId="0" borderId="0" xfId="0" applyNumberFormat="1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3" xfId="0" applyFont="1" applyBorder="1" applyAlignment="1">
      <alignment horizontal="center"/>
    </xf>
  </cellXfs>
  <cellStyles count="12">
    <cellStyle name="Millares" xfId="1" builtinId="3"/>
    <cellStyle name="Millares 2" xfId="5" xr:uid="{A02D969A-B181-435D-AF9B-A6B05A2DA1CF}"/>
    <cellStyle name="Millares 2 2" xfId="8" xr:uid="{FEE097C9-64D3-4A7A-B66B-31C934D4E79E}"/>
    <cellStyle name="Millares 3" xfId="9" xr:uid="{93E6F637-F6A6-41D7-A3D8-8612D218B63A}"/>
    <cellStyle name="Millares 4" xfId="6" xr:uid="{F8047559-6624-4D3C-8E1D-B7431A7107D3}"/>
    <cellStyle name="Normal" xfId="0" builtinId="0"/>
    <cellStyle name="Normal 2" xfId="4" xr:uid="{D4F795D3-09F7-410F-BDF8-9DA2A13FDD48}"/>
    <cellStyle name="Normal 3" xfId="7" xr:uid="{42FE7723-6EBD-4BCB-B5FA-30578CA9E868}"/>
    <cellStyle name="Normal 4" xfId="3" xr:uid="{143C730E-FB4D-43EB-BDE0-47CD2D933428}"/>
    <cellStyle name="Porcentaje" xfId="2" builtinId="5"/>
    <cellStyle name="Porcentaje 2" xfId="10" xr:uid="{03732923-2E67-48CB-94ED-C3AEE4C3A6D4}"/>
    <cellStyle name="Porcentaje 3" xfId="11" xr:uid="{494C6D77-35DE-4360-B6DA-80E0154DD6B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jose2\Downloads\BORRADOR%20PRESUPUESTO%202026%20(1)%20(2)%20(1)%20(1).xlsx" TargetMode="External"/><Relationship Id="rId1" Type="http://schemas.openxmlformats.org/officeDocument/2006/relationships/externalLinkPath" Target="BORRADOR%20PRESUPUESTO%202026%20(1)%20(2)%20(1)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6"/>
      <sheetName val="2025"/>
      <sheetName val="Nomina"/>
      <sheetName val="Arriendo"/>
    </sheetNames>
    <sheetDataSet>
      <sheetData sheetId="0"/>
      <sheetData sheetId="1"/>
      <sheetData sheetId="2">
        <row r="16">
          <cell r="G16">
            <v>2209776.7999999998</v>
          </cell>
        </row>
        <row r="20">
          <cell r="H20">
            <v>33416905</v>
          </cell>
          <cell r="I20">
            <v>3611877.5</v>
          </cell>
          <cell r="K20">
            <v>37028782.5</v>
          </cell>
          <cell r="L20">
            <v>4443453.8999999994</v>
          </cell>
          <cell r="M20">
            <v>37028782.5</v>
          </cell>
          <cell r="P20">
            <v>20885565.625</v>
          </cell>
          <cell r="Q20">
            <v>193290.24465000001</v>
          </cell>
          <cell r="R20">
            <v>4177113.125</v>
          </cell>
          <cell r="S20">
            <v>5346704.8</v>
          </cell>
          <cell r="T20">
            <v>3007521.45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602082-56C3-4169-A13F-36C7DA36C431}">
  <dimension ref="B2:S121"/>
  <sheetViews>
    <sheetView tabSelected="1" topLeftCell="C1" zoomScaleNormal="100" workbookViewId="0">
      <selection activeCell="O16" sqref="O16"/>
    </sheetView>
  </sheetViews>
  <sheetFormatPr baseColWidth="10" defaultColWidth="11.44140625" defaultRowHeight="14.4" x14ac:dyDescent="0.3"/>
  <cols>
    <col min="2" max="2" width="43.44140625" customWidth="1"/>
    <col min="3" max="3" width="13.33203125" customWidth="1"/>
    <col min="4" max="4" width="13.6640625" bestFit="1" customWidth="1"/>
    <col min="5" max="5" width="13.44140625" style="32" bestFit="1" customWidth="1"/>
    <col min="6" max="6" width="11.5546875" style="32"/>
    <col min="7" max="9" width="11.44140625" style="32"/>
    <col min="10" max="10" width="12.6640625" style="32" bestFit="1" customWidth="1"/>
    <col min="11" max="14" width="12.6640625" style="32" customWidth="1"/>
    <col min="15" max="15" width="13.6640625" style="32" bestFit="1" customWidth="1"/>
    <col min="16" max="16" width="10.88671875" style="43" bestFit="1" customWidth="1"/>
    <col min="18" max="18" width="14.6640625" customWidth="1"/>
    <col min="19" max="19" width="13.44140625" bestFit="1" customWidth="1"/>
  </cols>
  <sheetData>
    <row r="2" spans="2:18" x14ac:dyDescent="0.3">
      <c r="E2" s="31"/>
    </row>
    <row r="3" spans="2:18" ht="15" thickBot="1" x14ac:dyDescent="0.35">
      <c r="E3" s="31"/>
    </row>
    <row r="4" spans="2:18" ht="15" customHeight="1" thickBot="1" x14ac:dyDescent="0.35">
      <c r="B4" s="126" t="s">
        <v>108</v>
      </c>
      <c r="C4" s="127"/>
      <c r="D4" s="127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8"/>
    </row>
    <row r="5" spans="2:18" ht="15" customHeight="1" thickBot="1" x14ac:dyDescent="0.35">
      <c r="B5" s="46" t="s">
        <v>0</v>
      </c>
      <c r="C5" s="49"/>
      <c r="D5" s="50"/>
      <c r="E5" s="51"/>
      <c r="F5" s="52"/>
      <c r="G5" s="52"/>
      <c r="H5" s="52"/>
      <c r="I5" s="52"/>
      <c r="J5" s="52"/>
      <c r="K5" s="52"/>
      <c r="L5" s="52"/>
      <c r="M5" s="52"/>
      <c r="N5" s="52"/>
      <c r="O5" s="52"/>
      <c r="P5" s="53"/>
    </row>
    <row r="6" spans="2:18" ht="15" customHeight="1" thickBot="1" x14ac:dyDescent="0.35">
      <c r="B6" s="29" t="s">
        <v>1</v>
      </c>
      <c r="C6" s="30" t="s">
        <v>2</v>
      </c>
      <c r="D6" s="30" t="s">
        <v>3</v>
      </c>
      <c r="E6" s="45" t="s">
        <v>4</v>
      </c>
      <c r="F6" s="45" t="s">
        <v>99</v>
      </c>
      <c r="G6" s="45" t="s">
        <v>93</v>
      </c>
      <c r="H6" s="45" t="s">
        <v>98</v>
      </c>
      <c r="I6" s="45" t="s">
        <v>94</v>
      </c>
      <c r="J6" s="45" t="s">
        <v>97</v>
      </c>
      <c r="K6" s="45" t="s">
        <v>95</v>
      </c>
      <c r="L6" s="45" t="s">
        <v>96</v>
      </c>
      <c r="M6" s="45" t="s">
        <v>109</v>
      </c>
      <c r="N6" s="45" t="s">
        <v>110</v>
      </c>
      <c r="O6" s="45" t="s">
        <v>5</v>
      </c>
      <c r="P6" s="75" t="s">
        <v>6</v>
      </c>
    </row>
    <row r="7" spans="2:18" ht="53.4" customHeight="1" thickBot="1" x14ac:dyDescent="0.35">
      <c r="B7" s="2" t="s">
        <v>7</v>
      </c>
      <c r="C7" s="3">
        <f>D7/12</f>
        <v>319030075</v>
      </c>
      <c r="D7" s="33">
        <v>3828360900</v>
      </c>
      <c r="E7" s="33">
        <v>256230000</v>
      </c>
      <c r="F7" s="33">
        <f>E7</f>
        <v>256230000</v>
      </c>
      <c r="G7" s="33">
        <f>632461050-256230000</f>
        <v>376231050</v>
      </c>
      <c r="H7" s="33">
        <f>F7+G7</f>
        <v>632461050</v>
      </c>
      <c r="I7" s="33">
        <v>502481265</v>
      </c>
      <c r="J7" s="33">
        <f>+H7+I7</f>
        <v>1134942315</v>
      </c>
      <c r="K7" s="33">
        <f>1795251640-J7</f>
        <v>660309325</v>
      </c>
      <c r="L7" s="33">
        <f>+J7+K7</f>
        <v>1795251640</v>
      </c>
      <c r="M7" s="33">
        <v>637293680</v>
      </c>
      <c r="N7" s="33">
        <f>+L7+M7</f>
        <v>2432545320</v>
      </c>
      <c r="O7" s="33">
        <f>+D7-N7</f>
        <v>1395815580</v>
      </c>
      <c r="P7" s="76">
        <f>N7/D7</f>
        <v>0.63540125488169097</v>
      </c>
    </row>
    <row r="8" spans="2:18" ht="15" customHeight="1" thickBot="1" x14ac:dyDescent="0.35">
      <c r="B8" s="5" t="s">
        <v>8</v>
      </c>
      <c r="C8" s="6">
        <f>C7</f>
        <v>319030075</v>
      </c>
      <c r="D8" s="77">
        <f>D7</f>
        <v>3828360900</v>
      </c>
      <c r="E8" s="77">
        <f t="shared" ref="E8:O8" si="0">E7</f>
        <v>256230000</v>
      </c>
      <c r="F8" s="77">
        <f t="shared" si="0"/>
        <v>256230000</v>
      </c>
      <c r="G8" s="77">
        <f t="shared" si="0"/>
        <v>376231050</v>
      </c>
      <c r="H8" s="77">
        <f t="shared" si="0"/>
        <v>632461050</v>
      </c>
      <c r="I8" s="77">
        <f t="shared" si="0"/>
        <v>502481265</v>
      </c>
      <c r="J8" s="77">
        <f t="shared" si="0"/>
        <v>1134942315</v>
      </c>
      <c r="K8" s="77">
        <f t="shared" si="0"/>
        <v>660309325</v>
      </c>
      <c r="L8" s="77">
        <f t="shared" si="0"/>
        <v>1795251640</v>
      </c>
      <c r="M8" s="77">
        <f t="shared" si="0"/>
        <v>637293680</v>
      </c>
      <c r="N8" s="77">
        <f t="shared" si="0"/>
        <v>2432545320</v>
      </c>
      <c r="O8" s="77">
        <f t="shared" si="0"/>
        <v>1395815580</v>
      </c>
      <c r="P8" s="83">
        <f>L8/D8</f>
        <v>0.46893479661230475</v>
      </c>
    </row>
    <row r="9" spans="2:18" ht="15" customHeight="1" x14ac:dyDescent="0.3">
      <c r="B9" s="79" t="s">
        <v>9</v>
      </c>
      <c r="C9" s="3">
        <f>+D9/12</f>
        <v>766666.66666666663</v>
      </c>
      <c r="D9" s="33">
        <v>9200000</v>
      </c>
      <c r="E9" s="33"/>
      <c r="F9" s="33">
        <f t="shared" ref="F9:F11" si="1">E9</f>
        <v>0</v>
      </c>
      <c r="G9" s="33">
        <v>642805</v>
      </c>
      <c r="H9" s="33">
        <f>+F9+G9</f>
        <v>642805</v>
      </c>
      <c r="I9" s="33"/>
      <c r="J9" s="33">
        <f>+H9+I9</f>
        <v>642805</v>
      </c>
      <c r="K9" s="33"/>
      <c r="L9" s="33">
        <f>+J9+K9</f>
        <v>642805</v>
      </c>
      <c r="M9" s="33">
        <v>0</v>
      </c>
      <c r="N9" s="33">
        <f>+L9+M9</f>
        <v>642805</v>
      </c>
      <c r="O9" s="33">
        <f>+D9-N9</f>
        <v>8557195</v>
      </c>
      <c r="P9" s="76">
        <f>N9/D9</f>
        <v>6.9870108695652175E-2</v>
      </c>
    </row>
    <row r="10" spans="2:18" ht="15" customHeight="1" x14ac:dyDescent="0.3">
      <c r="B10" s="79" t="s">
        <v>10</v>
      </c>
      <c r="C10" s="3">
        <f>D10/12</f>
        <v>18100000</v>
      </c>
      <c r="D10" s="33">
        <v>217200000</v>
      </c>
      <c r="E10" s="33">
        <v>15511389.359999999</v>
      </c>
      <c r="F10" s="33">
        <f t="shared" si="1"/>
        <v>15511389.359999999</v>
      </c>
      <c r="G10" s="33">
        <f>33879626-15511389</f>
        <v>18368237</v>
      </c>
      <c r="H10" s="33">
        <f t="shared" ref="H10:H11" si="2">+F10+G10</f>
        <v>33879626.359999999</v>
      </c>
      <c r="I10" s="33">
        <f>55205482-H10</f>
        <v>21325855.640000001</v>
      </c>
      <c r="J10" s="33">
        <f>+H10+I10</f>
        <v>55205482</v>
      </c>
      <c r="K10" s="33">
        <f>82205746.03-J10</f>
        <v>27000264.030000001</v>
      </c>
      <c r="L10" s="33">
        <f t="shared" ref="L10:L11" si="3">+J10+K10</f>
        <v>82205746.030000001</v>
      </c>
      <c r="M10" s="33">
        <v>22403272.969999999</v>
      </c>
      <c r="N10" s="33">
        <f t="shared" ref="N10:N11" si="4">+L10+M10</f>
        <v>104609019</v>
      </c>
      <c r="O10" s="33">
        <f t="shared" ref="O10:O11" si="5">+D10-N10</f>
        <v>112590981</v>
      </c>
      <c r="P10" s="76">
        <f t="shared" ref="P10:P11" si="6">N10/D10</f>
        <v>0.48162531767955802</v>
      </c>
    </row>
    <row r="11" spans="2:18" ht="15" customHeight="1" thickBot="1" x14ac:dyDescent="0.35">
      <c r="B11" s="79" t="s">
        <v>11</v>
      </c>
      <c r="C11" s="3">
        <f>+D11/12</f>
        <v>16666.666666666668</v>
      </c>
      <c r="D11" s="33">
        <v>200000</v>
      </c>
      <c r="E11" s="33">
        <v>1261</v>
      </c>
      <c r="F11" s="33">
        <f t="shared" si="1"/>
        <v>1261</v>
      </c>
      <c r="G11" s="33">
        <v>0</v>
      </c>
      <c r="H11" s="33">
        <f t="shared" si="2"/>
        <v>1261</v>
      </c>
      <c r="I11" s="33">
        <v>0</v>
      </c>
      <c r="J11" s="33">
        <f>+H11+I11</f>
        <v>1261</v>
      </c>
      <c r="K11" s="33">
        <v>-110</v>
      </c>
      <c r="L11" s="33">
        <f t="shared" si="3"/>
        <v>1151</v>
      </c>
      <c r="M11" s="33">
        <v>0</v>
      </c>
      <c r="N11" s="33">
        <f t="shared" si="4"/>
        <v>1151</v>
      </c>
      <c r="O11" s="33">
        <f t="shared" si="5"/>
        <v>198849</v>
      </c>
      <c r="P11" s="76">
        <f t="shared" si="6"/>
        <v>5.7549999999999997E-3</v>
      </c>
      <c r="Q11" s="1"/>
    </row>
    <row r="12" spans="2:18" ht="15" customHeight="1" thickBot="1" x14ac:dyDescent="0.35">
      <c r="B12" s="7" t="s">
        <v>12</v>
      </c>
      <c r="C12" s="77">
        <f>SUM(C8:C11)</f>
        <v>337913408.33333337</v>
      </c>
      <c r="D12" s="77">
        <f>SUM(D8:D11)</f>
        <v>4054960900</v>
      </c>
      <c r="E12" s="77">
        <f t="shared" ref="E12" si="7">SUM(E8:E11)</f>
        <v>271742650.36000001</v>
      </c>
      <c r="F12" s="77">
        <f>SUM(F8:F11)</f>
        <v>271742650.36000001</v>
      </c>
      <c r="G12" s="77">
        <f t="shared" ref="G12:H12" si="8">SUM(G8:G11)</f>
        <v>395242092</v>
      </c>
      <c r="H12" s="77">
        <f t="shared" si="8"/>
        <v>666984742.36000001</v>
      </c>
      <c r="I12" s="77">
        <f t="shared" ref="I12" si="9">SUM(I8:I11)</f>
        <v>523807120.63999999</v>
      </c>
      <c r="J12" s="77">
        <f t="shared" ref="J12:K12" si="10">SUM(J8:J11)</f>
        <v>1190791863</v>
      </c>
      <c r="K12" s="77">
        <f t="shared" si="10"/>
        <v>687309479.02999997</v>
      </c>
      <c r="L12" s="77">
        <f>SUM(L8:L11)</f>
        <v>1878101342.03</v>
      </c>
      <c r="M12" s="77">
        <f t="shared" ref="M12:N12" si="11">SUM(M8:M11)</f>
        <v>659696952.97000003</v>
      </c>
      <c r="N12" s="77">
        <f t="shared" si="11"/>
        <v>2537798295</v>
      </c>
      <c r="O12" s="77">
        <f>SUM(O8:O11)</f>
        <v>1517162605</v>
      </c>
      <c r="P12" s="78">
        <f>N12/D12</f>
        <v>0.62585025049193443</v>
      </c>
    </row>
    <row r="13" spans="2:18" ht="15" customHeight="1" thickBot="1" x14ac:dyDescent="0.35">
      <c r="B13" s="8" t="s">
        <v>13</v>
      </c>
      <c r="C13" s="9">
        <f>C14</f>
        <v>191418045</v>
      </c>
      <c r="D13" s="34">
        <f>C13*12</f>
        <v>2297016540</v>
      </c>
      <c r="E13" s="34">
        <f>+E14</f>
        <v>153738000</v>
      </c>
      <c r="F13" s="34">
        <f>+F14</f>
        <v>153738000</v>
      </c>
      <c r="G13" s="34">
        <f t="shared" ref="G13:H13" si="12">+G14</f>
        <v>225738632</v>
      </c>
      <c r="H13" s="34">
        <f t="shared" si="12"/>
        <v>379476632</v>
      </c>
      <c r="I13" s="34">
        <f t="shared" ref="I13" si="13">+I14</f>
        <v>301488760</v>
      </c>
      <c r="J13" s="34">
        <f t="shared" ref="J13:N13" si="14">+J14</f>
        <v>680965392</v>
      </c>
      <c r="K13" s="34">
        <f t="shared" si="14"/>
        <v>396185960</v>
      </c>
      <c r="L13" s="34">
        <f t="shared" si="14"/>
        <v>1077151352</v>
      </c>
      <c r="M13" s="34">
        <f t="shared" si="14"/>
        <v>382376208</v>
      </c>
      <c r="N13" s="34">
        <f t="shared" si="14"/>
        <v>1459527560</v>
      </c>
      <c r="O13" s="34">
        <f>+O14</f>
        <v>837488980</v>
      </c>
      <c r="P13" s="80">
        <f>L13/D13</f>
        <v>0.46893495682011938</v>
      </c>
    </row>
    <row r="14" spans="2:18" ht="34.200000000000003" customHeight="1" thickBot="1" x14ac:dyDescent="0.35">
      <c r="B14" s="28" t="s">
        <v>14</v>
      </c>
      <c r="C14" s="3">
        <f>C7*60%</f>
        <v>191418045</v>
      </c>
      <c r="D14" s="33">
        <f>+D8*60%</f>
        <v>2297016540</v>
      </c>
      <c r="E14" s="33">
        <v>153738000</v>
      </c>
      <c r="F14" s="33">
        <f>E14</f>
        <v>153738000</v>
      </c>
      <c r="G14" s="33">
        <f>379476632-153738000</f>
        <v>225738632</v>
      </c>
      <c r="H14" s="33">
        <f>+F14+G14</f>
        <v>379476632</v>
      </c>
      <c r="I14" s="33">
        <f>680965392-H14</f>
        <v>301488760</v>
      </c>
      <c r="J14" s="33">
        <f>+H14+I14</f>
        <v>680965392</v>
      </c>
      <c r="K14" s="33">
        <f>1077151352-J14</f>
        <v>396185960</v>
      </c>
      <c r="L14" s="33">
        <f>+J14+K14</f>
        <v>1077151352</v>
      </c>
      <c r="M14" s="33">
        <v>382376208</v>
      </c>
      <c r="N14" s="33">
        <f>+L14+M14</f>
        <v>1459527560</v>
      </c>
      <c r="O14" s="33">
        <f>+D14-N14</f>
        <v>837488980</v>
      </c>
      <c r="P14" s="76">
        <f>N14/D14</f>
        <v>0.63540141508950565</v>
      </c>
      <c r="R14" s="123"/>
    </row>
    <row r="15" spans="2:18" ht="15" customHeight="1" thickBot="1" x14ac:dyDescent="0.35">
      <c r="B15" s="10" t="s">
        <v>15</v>
      </c>
      <c r="C15" s="6">
        <f>+C12-C13</f>
        <v>146495363.33333337</v>
      </c>
      <c r="D15" s="6">
        <f>+D12-D13</f>
        <v>1757944360</v>
      </c>
      <c r="E15" s="6">
        <f t="shared" ref="E15" si="15">+E12-E13</f>
        <v>118004650.36000001</v>
      </c>
      <c r="F15" s="6">
        <f>+F12-F13</f>
        <v>118004650.36000001</v>
      </c>
      <c r="G15" s="6">
        <f t="shared" ref="G15:I15" si="16">+G12-G13</f>
        <v>169503460</v>
      </c>
      <c r="H15" s="6">
        <f t="shared" si="16"/>
        <v>287508110.36000001</v>
      </c>
      <c r="I15" s="6">
        <f t="shared" si="16"/>
        <v>222318360.63999999</v>
      </c>
      <c r="J15" s="6">
        <f>+J12-J13</f>
        <v>509826471</v>
      </c>
      <c r="K15" s="6">
        <f t="shared" ref="K15:L15" si="17">+K12-K13</f>
        <v>291123519.02999997</v>
      </c>
      <c r="L15" s="6">
        <f t="shared" si="17"/>
        <v>800949990.02999997</v>
      </c>
      <c r="M15" s="6">
        <f>+M12-M13</f>
        <v>277320744.97000003</v>
      </c>
      <c r="N15" s="6">
        <f>+N12-N13</f>
        <v>1078270735</v>
      </c>
      <c r="O15" s="6">
        <f>+O12-O13</f>
        <v>679673625</v>
      </c>
      <c r="P15" s="76">
        <f>N15/D15</f>
        <v>0.61337022919200923</v>
      </c>
    </row>
    <row r="16" spans="2:18" ht="15" customHeight="1" x14ac:dyDescent="0.3">
      <c r="B16" s="11"/>
      <c r="C16" s="81"/>
      <c r="D16" s="82"/>
      <c r="E16" s="82"/>
      <c r="F16" s="82"/>
      <c r="G16" s="82"/>
      <c r="H16" s="82"/>
      <c r="I16" s="82"/>
      <c r="J16" s="82"/>
      <c r="K16" s="82"/>
      <c r="L16" s="82"/>
      <c r="M16" s="82"/>
      <c r="N16" s="82"/>
      <c r="O16" s="82"/>
      <c r="P16" s="83"/>
    </row>
    <row r="17" spans="2:19" ht="15" customHeight="1" thickBot="1" x14ac:dyDescent="0.35">
      <c r="B17" s="84" t="s">
        <v>16</v>
      </c>
      <c r="C17" s="56"/>
      <c r="D17" s="57"/>
      <c r="E17" s="57"/>
      <c r="F17" s="57"/>
      <c r="G17" s="57"/>
      <c r="H17" s="57"/>
      <c r="I17" s="57"/>
      <c r="J17" s="57"/>
      <c r="K17" s="57"/>
      <c r="L17" s="57"/>
      <c r="M17" s="57"/>
      <c r="N17" s="57"/>
      <c r="O17" s="57"/>
      <c r="P17" s="85"/>
    </row>
    <row r="18" spans="2:19" ht="15" customHeight="1" thickBot="1" x14ac:dyDescent="0.35">
      <c r="B18" s="13" t="s">
        <v>17</v>
      </c>
      <c r="C18" s="58">
        <f>SUM(C19:C30)</f>
        <v>60288960.952983335</v>
      </c>
      <c r="D18" s="59">
        <f>SUM(D19:D30)</f>
        <v>723467532</v>
      </c>
      <c r="E18" s="59">
        <f t="shared" ref="E18:O18" si="18">SUM(E19:E30)</f>
        <v>47127199</v>
      </c>
      <c r="F18" s="59">
        <f>SUM(F19:F30)</f>
        <v>47127199</v>
      </c>
      <c r="G18" s="59">
        <f>SUM(G19:G30)</f>
        <v>50001296</v>
      </c>
      <c r="H18" s="59">
        <f t="shared" ref="H18" si="19">SUM(H19:H30)</f>
        <v>97128495</v>
      </c>
      <c r="I18" s="59">
        <f>SUM(I19:I30)</f>
        <v>56589852</v>
      </c>
      <c r="J18" s="59">
        <f t="shared" ref="J18:N18" si="20">SUM(J19:J30)</f>
        <v>153718347</v>
      </c>
      <c r="K18" s="59">
        <f t="shared" si="20"/>
        <v>60490424</v>
      </c>
      <c r="L18" s="59">
        <f t="shared" si="20"/>
        <v>214208771</v>
      </c>
      <c r="M18" s="59">
        <f t="shared" si="20"/>
        <v>64207044</v>
      </c>
      <c r="N18" s="59">
        <f t="shared" si="20"/>
        <v>278415815</v>
      </c>
      <c r="O18" s="59">
        <f t="shared" si="18"/>
        <v>445051717</v>
      </c>
      <c r="P18" s="78">
        <f>N18/D18</f>
        <v>0.38483525892354764</v>
      </c>
      <c r="S18" s="124"/>
    </row>
    <row r="19" spans="2:19" ht="15" customHeight="1" x14ac:dyDescent="0.3">
      <c r="B19" s="86" t="s">
        <v>18</v>
      </c>
      <c r="C19" s="16">
        <f>[1]Nomina!H20</f>
        <v>33416905</v>
      </c>
      <c r="D19" s="35">
        <f>C19*12</f>
        <v>401002860</v>
      </c>
      <c r="E19" s="35">
        <v>27754633</v>
      </c>
      <c r="F19" s="35">
        <f t="shared" ref="F19:F30" si="21">E19</f>
        <v>27754633</v>
      </c>
      <c r="G19" s="35">
        <f>57711537-F19</f>
        <v>29956904</v>
      </c>
      <c r="H19" s="35">
        <f>+F19+G19</f>
        <v>57711537</v>
      </c>
      <c r="I19" s="35">
        <f>90970703-H19+58363</f>
        <v>33317529</v>
      </c>
      <c r="J19" s="35">
        <f t="shared" ref="J19:J30" si="22">+H19+I19</f>
        <v>91029066</v>
      </c>
      <c r="K19" s="35">
        <f>125630919-J19+58363</f>
        <v>34660216</v>
      </c>
      <c r="L19" s="35">
        <f>+J19+K19</f>
        <v>125689282</v>
      </c>
      <c r="M19" s="35">
        <f>162674672+180226-L19</f>
        <v>37165616</v>
      </c>
      <c r="N19" s="35">
        <f>+L19+M19</f>
        <v>162854898</v>
      </c>
      <c r="O19" s="35">
        <f>D19-N19</f>
        <v>238147962</v>
      </c>
      <c r="P19" s="76">
        <f>N19/D19</f>
        <v>0.40611904363973861</v>
      </c>
      <c r="R19" s="125"/>
      <c r="S19" s="124"/>
    </row>
    <row r="20" spans="2:19" ht="15" customHeight="1" x14ac:dyDescent="0.3">
      <c r="B20" s="79" t="s">
        <v>19</v>
      </c>
      <c r="C20" s="4">
        <f>[1]Nomina!I20</f>
        <v>3611877.5</v>
      </c>
      <c r="D20" s="33">
        <f>C20*12</f>
        <v>43342530</v>
      </c>
      <c r="E20" s="33">
        <v>3047274</v>
      </c>
      <c r="F20" s="33">
        <f t="shared" si="21"/>
        <v>3047274</v>
      </c>
      <c r="G20" s="33">
        <f>6285522-3047274</f>
        <v>3238248</v>
      </c>
      <c r="H20" s="35">
        <f t="shared" ref="H20:H30" si="23">+F20+G20</f>
        <v>6285522</v>
      </c>
      <c r="I20" s="35">
        <f>10013658-H20</f>
        <v>3728136</v>
      </c>
      <c r="J20" s="35">
        <f t="shared" si="22"/>
        <v>10013658</v>
      </c>
      <c r="K20" s="35">
        <f>13957678-J20</f>
        <v>3944020</v>
      </c>
      <c r="L20" s="35">
        <f t="shared" ref="L20:L30" si="24">+J20+K20</f>
        <v>13957678</v>
      </c>
      <c r="M20" s="35">
        <f>18142490-L20</f>
        <v>4184812</v>
      </c>
      <c r="N20" s="35">
        <f t="shared" ref="N20:N30" si="25">+L20+M20</f>
        <v>18142490</v>
      </c>
      <c r="O20" s="35">
        <f t="shared" ref="O20:O30" si="26">D20-N20</f>
        <v>25200040</v>
      </c>
      <c r="P20" s="76">
        <f t="shared" ref="P20:P30" si="27">N20/D20</f>
        <v>0.41858400974746973</v>
      </c>
      <c r="R20" s="125"/>
      <c r="S20" s="124"/>
    </row>
    <row r="21" spans="2:19" ht="15" customHeight="1" x14ac:dyDescent="0.3">
      <c r="B21" s="79" t="s">
        <v>20</v>
      </c>
      <c r="C21" s="4">
        <f>D21/12</f>
        <v>3085731.9166666665</v>
      </c>
      <c r="D21" s="33">
        <f>ROUND([1]Nomina!K20,0)</f>
        <v>37028783</v>
      </c>
      <c r="E21" s="33">
        <v>2749848</v>
      </c>
      <c r="F21" s="33">
        <f t="shared" si="21"/>
        <v>2749848</v>
      </c>
      <c r="G21" s="33">
        <f>5557446-F21</f>
        <v>2807598</v>
      </c>
      <c r="H21" s="35">
        <f t="shared" si="23"/>
        <v>5557446</v>
      </c>
      <c r="I21" s="35">
        <f>8912738-H21</f>
        <v>3355292</v>
      </c>
      <c r="J21" s="35">
        <f t="shared" si="22"/>
        <v>8912738</v>
      </c>
      <c r="K21" s="35">
        <f>12220095-J21</f>
        <v>3307357</v>
      </c>
      <c r="L21" s="35">
        <f t="shared" si="24"/>
        <v>12220095</v>
      </c>
      <c r="M21" s="35">
        <f>15685746-L21</f>
        <v>3465651</v>
      </c>
      <c r="N21" s="35">
        <f t="shared" si="25"/>
        <v>15685746</v>
      </c>
      <c r="O21" s="35">
        <f t="shared" si="26"/>
        <v>21343037</v>
      </c>
      <c r="P21" s="76">
        <f t="shared" si="27"/>
        <v>0.42360954720007948</v>
      </c>
      <c r="R21" s="125"/>
      <c r="S21" s="124"/>
    </row>
    <row r="22" spans="2:19" ht="15" customHeight="1" x14ac:dyDescent="0.3">
      <c r="B22" s="79" t="s">
        <v>21</v>
      </c>
      <c r="C22" s="4">
        <f>D22/12</f>
        <v>370287.83333333331</v>
      </c>
      <c r="D22" s="33">
        <f>ROUND([1]Nomina!L20,0)</f>
        <v>4443454</v>
      </c>
      <c r="E22" s="33">
        <v>317194</v>
      </c>
      <c r="F22" s="33">
        <f t="shared" si="21"/>
        <v>317194</v>
      </c>
      <c r="G22" s="33">
        <f>654219-F22</f>
        <v>337025</v>
      </c>
      <c r="H22" s="35">
        <f t="shared" si="23"/>
        <v>654219</v>
      </c>
      <c r="I22" s="35">
        <f>1057004-H22</f>
        <v>402785</v>
      </c>
      <c r="J22" s="35">
        <f t="shared" si="22"/>
        <v>1057004</v>
      </c>
      <c r="K22" s="35">
        <f>1454034-J22</f>
        <v>397030</v>
      </c>
      <c r="L22" s="35">
        <f t="shared" si="24"/>
        <v>1454034</v>
      </c>
      <c r="M22" s="35">
        <f>1870066-L22</f>
        <v>416032</v>
      </c>
      <c r="N22" s="35">
        <f t="shared" si="25"/>
        <v>1870066</v>
      </c>
      <c r="O22" s="35">
        <f t="shared" si="26"/>
        <v>2573388</v>
      </c>
      <c r="P22" s="76">
        <f t="shared" si="27"/>
        <v>0.42085863834755577</v>
      </c>
      <c r="R22" s="125"/>
      <c r="S22" s="124"/>
    </row>
    <row r="23" spans="2:19" ht="15" customHeight="1" x14ac:dyDescent="0.3">
      <c r="B23" s="79" t="s">
        <v>22</v>
      </c>
      <c r="C23" s="4">
        <f>D23/12</f>
        <v>3085731.9166666665</v>
      </c>
      <c r="D23" s="33">
        <f>ROUND([1]Nomina!M20,0)</f>
        <v>37028783</v>
      </c>
      <c r="E23" s="33">
        <v>2749938</v>
      </c>
      <c r="F23" s="33">
        <f t="shared" si="21"/>
        <v>2749938</v>
      </c>
      <c r="G23" s="33">
        <f>2807598-90</f>
        <v>2807508</v>
      </c>
      <c r="H23" s="35">
        <f t="shared" si="23"/>
        <v>5557446</v>
      </c>
      <c r="I23" s="35">
        <v>3355292</v>
      </c>
      <c r="J23" s="35">
        <f t="shared" si="22"/>
        <v>8912738</v>
      </c>
      <c r="K23" s="35">
        <f>12220095-J23</f>
        <v>3307357</v>
      </c>
      <c r="L23" s="35">
        <f t="shared" si="24"/>
        <v>12220095</v>
      </c>
      <c r="M23" s="35">
        <f>+M21</f>
        <v>3465651</v>
      </c>
      <c r="N23" s="35">
        <f t="shared" si="25"/>
        <v>15685746</v>
      </c>
      <c r="O23" s="35">
        <f t="shared" si="26"/>
        <v>21343037</v>
      </c>
      <c r="P23" s="76">
        <f t="shared" si="27"/>
        <v>0.42360954720007948</v>
      </c>
      <c r="R23" s="125"/>
      <c r="S23" s="124"/>
    </row>
    <row r="24" spans="2:19" ht="15" customHeight="1" x14ac:dyDescent="0.3">
      <c r="B24" s="79" t="s">
        <v>23</v>
      </c>
      <c r="C24" s="4">
        <f>D24/12</f>
        <v>1740463.8333333333</v>
      </c>
      <c r="D24" s="33">
        <f>ROUND([1]Nomina!P20,0)</f>
        <v>20885566</v>
      </c>
      <c r="E24" s="33">
        <v>1469652</v>
      </c>
      <c r="F24" s="33">
        <f t="shared" si="21"/>
        <v>1469652</v>
      </c>
      <c r="G24" s="33">
        <f>2793158-1469652</f>
        <v>1323506</v>
      </c>
      <c r="H24" s="35">
        <f t="shared" si="23"/>
        <v>2793158</v>
      </c>
      <c r="I24" s="35">
        <f>4543339-H24</f>
        <v>1750181</v>
      </c>
      <c r="J24" s="35">
        <f t="shared" si="22"/>
        <v>4543339</v>
      </c>
      <c r="K24" s="35">
        <f>6031016-J24</f>
        <v>1487677</v>
      </c>
      <c r="L24" s="35">
        <f t="shared" si="24"/>
        <v>6031016</v>
      </c>
      <c r="M24" s="35">
        <f>7587672-L24</f>
        <v>1556656</v>
      </c>
      <c r="N24" s="35">
        <f t="shared" si="25"/>
        <v>7587672</v>
      </c>
      <c r="O24" s="35">
        <f t="shared" si="26"/>
        <v>13297894</v>
      </c>
      <c r="P24" s="76">
        <f t="shared" si="27"/>
        <v>0.36329740836326868</v>
      </c>
      <c r="R24" s="125"/>
      <c r="S24" s="124"/>
    </row>
    <row r="25" spans="2:19" ht="15" customHeight="1" x14ac:dyDescent="0.3">
      <c r="B25" s="79" t="s">
        <v>24</v>
      </c>
      <c r="C25" s="4">
        <v>1420000</v>
      </c>
      <c r="D25" s="33">
        <f>C25*12</f>
        <v>17040000</v>
      </c>
      <c r="E25" s="33"/>
      <c r="F25" s="33">
        <f t="shared" si="21"/>
        <v>0</v>
      </c>
      <c r="G25" s="33"/>
      <c r="H25" s="35">
        <f t="shared" si="23"/>
        <v>0</v>
      </c>
      <c r="I25" s="35"/>
      <c r="J25" s="35">
        <f t="shared" si="22"/>
        <v>0</v>
      </c>
      <c r="K25" s="35">
        <v>2163108</v>
      </c>
      <c r="L25" s="35">
        <f t="shared" si="24"/>
        <v>2163108</v>
      </c>
      <c r="M25" s="35">
        <f>4724038-L25</f>
        <v>2560930</v>
      </c>
      <c r="N25" s="35">
        <f t="shared" si="25"/>
        <v>4724038</v>
      </c>
      <c r="O25" s="35">
        <f t="shared" si="26"/>
        <v>12315962</v>
      </c>
      <c r="P25" s="76">
        <f t="shared" si="27"/>
        <v>0.27723227699530517</v>
      </c>
      <c r="R25" s="125"/>
      <c r="S25" s="124"/>
    </row>
    <row r="26" spans="2:19" ht="15" customHeight="1" x14ac:dyDescent="0.3">
      <c r="B26" s="79" t="s">
        <v>25</v>
      </c>
      <c r="C26" s="4">
        <f>+D26/12</f>
        <v>833333.33333333337</v>
      </c>
      <c r="D26" s="33">
        <v>10000000</v>
      </c>
      <c r="E26" s="33"/>
      <c r="F26" s="33">
        <f t="shared" si="21"/>
        <v>0</v>
      </c>
      <c r="G26" s="33"/>
      <c r="H26" s="35">
        <f t="shared" si="23"/>
        <v>0</v>
      </c>
      <c r="I26" s="35"/>
      <c r="J26" s="35">
        <f t="shared" si="22"/>
        <v>0</v>
      </c>
      <c r="K26" s="35"/>
      <c r="L26" s="35">
        <f t="shared" si="24"/>
        <v>0</v>
      </c>
      <c r="M26" s="35"/>
      <c r="N26" s="35">
        <f t="shared" si="25"/>
        <v>0</v>
      </c>
      <c r="O26" s="35">
        <f t="shared" si="26"/>
        <v>10000000</v>
      </c>
      <c r="P26" s="76">
        <f t="shared" si="27"/>
        <v>0</v>
      </c>
      <c r="R26" s="125"/>
      <c r="S26" s="124"/>
    </row>
    <row r="27" spans="2:19" ht="15" customHeight="1" x14ac:dyDescent="0.3">
      <c r="B27" s="79" t="s">
        <v>26</v>
      </c>
      <c r="C27" s="4">
        <f>[1]Nomina!Q20</f>
        <v>193290.24465000001</v>
      </c>
      <c r="D27" s="33">
        <f>ROUND(C27*12,0)</f>
        <v>2319483</v>
      </c>
      <c r="E27" s="33">
        <v>289760</v>
      </c>
      <c r="F27" s="33">
        <f t="shared" si="21"/>
        <v>289760</v>
      </c>
      <c r="G27" s="33">
        <f>602512-F27</f>
        <v>312752</v>
      </c>
      <c r="H27" s="35">
        <f t="shared" si="23"/>
        <v>602512</v>
      </c>
      <c r="I27" s="35">
        <f>949739-H27</f>
        <v>347227</v>
      </c>
      <c r="J27" s="35">
        <f t="shared" si="22"/>
        <v>949739</v>
      </c>
      <c r="K27" s="35">
        <f>1327100-J27</f>
        <v>377361</v>
      </c>
      <c r="L27" s="35">
        <f t="shared" si="24"/>
        <v>1327100</v>
      </c>
      <c r="M27" s="35">
        <f>1713839-L27</f>
        <v>386739</v>
      </c>
      <c r="N27" s="35">
        <f t="shared" si="25"/>
        <v>1713839</v>
      </c>
      <c r="O27" s="35">
        <f t="shared" si="26"/>
        <v>605644</v>
      </c>
      <c r="P27" s="76">
        <f t="shared" si="27"/>
        <v>0.73888836434671001</v>
      </c>
      <c r="R27" s="125"/>
      <c r="S27" s="124"/>
    </row>
    <row r="28" spans="2:19" ht="15" customHeight="1" x14ac:dyDescent="0.3">
      <c r="B28" s="79" t="s">
        <v>27</v>
      </c>
      <c r="C28" s="4">
        <f>[1]Nomina!R20</f>
        <v>4177113.125</v>
      </c>
      <c r="D28" s="33">
        <f>ROUND(C28*12,0)</f>
        <v>50125358</v>
      </c>
      <c r="E28" s="33">
        <v>2546991</v>
      </c>
      <c r="F28" s="33">
        <f t="shared" si="21"/>
        <v>2546991</v>
      </c>
      <c r="G28" s="33">
        <f>5251081-F28</f>
        <v>2704090</v>
      </c>
      <c r="H28" s="35">
        <f t="shared" si="23"/>
        <v>5251081</v>
      </c>
      <c r="I28" s="35">
        <f>8282509-H28</f>
        <v>3031428</v>
      </c>
      <c r="J28" s="35">
        <f t="shared" si="22"/>
        <v>8282509</v>
      </c>
      <c r="K28" s="35">
        <f>11439264-J28</f>
        <v>3156755</v>
      </c>
      <c r="L28" s="35">
        <f t="shared" si="24"/>
        <v>11439264</v>
      </c>
      <c r="M28" s="35">
        <f>14619927-L28</f>
        <v>3180663</v>
      </c>
      <c r="N28" s="35">
        <f t="shared" si="25"/>
        <v>14619927</v>
      </c>
      <c r="O28" s="35">
        <f t="shared" si="26"/>
        <v>35505431</v>
      </c>
      <c r="P28" s="76">
        <f t="shared" si="27"/>
        <v>0.29166728345361642</v>
      </c>
      <c r="R28" s="125"/>
      <c r="S28" s="124"/>
    </row>
    <row r="29" spans="2:19" ht="15" customHeight="1" x14ac:dyDescent="0.3">
      <c r="B29" s="79" t="s">
        <v>28</v>
      </c>
      <c r="C29" s="4">
        <f>[1]Nomina!S20</f>
        <v>5346704.8</v>
      </c>
      <c r="D29" s="4">
        <f>ROUND(C29*12,0)</f>
        <v>64160458</v>
      </c>
      <c r="E29" s="4">
        <v>3595756</v>
      </c>
      <c r="F29" s="4">
        <f t="shared" si="21"/>
        <v>3595756</v>
      </c>
      <c r="G29" s="4">
        <f>7413299-F29</f>
        <v>3817543</v>
      </c>
      <c r="H29" s="35">
        <f t="shared" si="23"/>
        <v>7413299</v>
      </c>
      <c r="I29" s="35">
        <f>11675189-H29</f>
        <v>4261890</v>
      </c>
      <c r="J29" s="35">
        <f t="shared" si="22"/>
        <v>11675189</v>
      </c>
      <c r="K29" s="35">
        <f>16136194-J29</f>
        <v>4461005</v>
      </c>
      <c r="L29" s="35">
        <f t="shared" si="24"/>
        <v>16136194</v>
      </c>
      <c r="M29" s="35">
        <f>20626547-L29</f>
        <v>4490353</v>
      </c>
      <c r="N29" s="35">
        <f t="shared" si="25"/>
        <v>20626547</v>
      </c>
      <c r="O29" s="35">
        <f t="shared" si="26"/>
        <v>43533911</v>
      </c>
      <c r="P29" s="76">
        <f t="shared" si="27"/>
        <v>0.3214837867896766</v>
      </c>
      <c r="R29" s="125"/>
      <c r="S29" s="124"/>
    </row>
    <row r="30" spans="2:19" ht="15" customHeight="1" x14ac:dyDescent="0.3">
      <c r="B30" s="79" t="s">
        <v>29</v>
      </c>
      <c r="C30" s="4">
        <f>[1]Nomina!T20</f>
        <v>3007521.45</v>
      </c>
      <c r="D30" s="4">
        <f>ROUND(C30*12,0)</f>
        <v>36090257</v>
      </c>
      <c r="E30" s="4">
        <f>1158290+868718+579145</f>
        <v>2606153</v>
      </c>
      <c r="F30" s="4">
        <f t="shared" si="21"/>
        <v>2606153</v>
      </c>
      <c r="G30" s="4">
        <f>5302275-F30</f>
        <v>2696122</v>
      </c>
      <c r="H30" s="35">
        <f t="shared" si="23"/>
        <v>5302275</v>
      </c>
      <c r="I30" s="35">
        <f>3707717+2780791+1853859-H30</f>
        <v>3040092</v>
      </c>
      <c r="J30" s="35">
        <f t="shared" si="22"/>
        <v>8342367</v>
      </c>
      <c r="K30" s="35">
        <f>5142621+3856963+2571311-J30+10</f>
        <v>3228538</v>
      </c>
      <c r="L30" s="35">
        <f t="shared" si="24"/>
        <v>11570905</v>
      </c>
      <c r="M30" s="35">
        <f>6624371+4968289+3312186-L30</f>
        <v>3333941</v>
      </c>
      <c r="N30" s="35">
        <f t="shared" si="25"/>
        <v>14904846</v>
      </c>
      <c r="O30" s="35">
        <f t="shared" si="26"/>
        <v>21185411</v>
      </c>
      <c r="P30" s="76">
        <f t="shared" si="27"/>
        <v>0.41298808152017313</v>
      </c>
      <c r="R30" s="125"/>
    </row>
    <row r="31" spans="2:19" ht="15" customHeight="1" thickBot="1" x14ac:dyDescent="0.35">
      <c r="B31" s="88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89"/>
      <c r="R31" s="125"/>
    </row>
    <row r="32" spans="2:19" ht="15" customHeight="1" thickBot="1" x14ac:dyDescent="0.35">
      <c r="B32" s="13" t="s">
        <v>30</v>
      </c>
      <c r="C32" s="14">
        <f>SUM(C33:C39)</f>
        <v>38167333.333333328</v>
      </c>
      <c r="D32" s="14">
        <f>SUM(D33:D39)</f>
        <v>458008000</v>
      </c>
      <c r="E32" s="14">
        <f t="shared" ref="E32:N32" si="28">SUM(E33:E39)</f>
        <v>26615972</v>
      </c>
      <c r="F32" s="14">
        <f t="shared" si="28"/>
        <v>26615972</v>
      </c>
      <c r="G32" s="14">
        <f t="shared" si="28"/>
        <v>40837817</v>
      </c>
      <c r="H32" s="14">
        <f t="shared" si="28"/>
        <v>67453789</v>
      </c>
      <c r="I32" s="14">
        <f t="shared" si="28"/>
        <v>40837817</v>
      </c>
      <c r="J32" s="14">
        <f t="shared" si="28"/>
        <v>108291606</v>
      </c>
      <c r="K32" s="14">
        <f t="shared" si="28"/>
        <v>40837817</v>
      </c>
      <c r="L32" s="14">
        <f t="shared" si="28"/>
        <v>149129423</v>
      </c>
      <c r="M32" s="14">
        <f t="shared" si="28"/>
        <v>40837817</v>
      </c>
      <c r="N32" s="14">
        <f t="shared" si="28"/>
        <v>189967240</v>
      </c>
      <c r="O32" s="14">
        <f>SUM(O33:O39)</f>
        <v>308878577</v>
      </c>
      <c r="P32" s="78">
        <f>N32/D32</f>
        <v>0.41476838832509477</v>
      </c>
      <c r="R32" s="125"/>
    </row>
    <row r="33" spans="2:19" ht="15" customHeight="1" x14ac:dyDescent="0.3">
      <c r="B33" s="86" t="s">
        <v>31</v>
      </c>
      <c r="C33" s="15">
        <v>5994000</v>
      </c>
      <c r="D33" s="35">
        <f>C33*12</f>
        <v>71928000</v>
      </c>
      <c r="E33" s="35">
        <v>4876477</v>
      </c>
      <c r="F33" s="35">
        <f t="shared" ref="F33:F39" si="29">E33</f>
        <v>4876477</v>
      </c>
      <c r="G33" s="35">
        <f>10972070-F33</f>
        <v>6095593</v>
      </c>
      <c r="H33" s="35">
        <f>+F33+G33</f>
        <v>10972070</v>
      </c>
      <c r="I33" s="35">
        <v>6095593</v>
      </c>
      <c r="J33" s="35">
        <f t="shared" ref="J33:J39" si="30">+H33+I33</f>
        <v>17067663</v>
      </c>
      <c r="K33" s="35">
        <f>23163256-J33</f>
        <v>6095593</v>
      </c>
      <c r="L33" s="35">
        <f>+J33+K33</f>
        <v>23163256</v>
      </c>
      <c r="M33" s="35">
        <f>29258849-L33</f>
        <v>6095593</v>
      </c>
      <c r="N33" s="35">
        <f>+L33+M33</f>
        <v>29258849</v>
      </c>
      <c r="O33" s="35">
        <f>D33-L33</f>
        <v>48764744</v>
      </c>
      <c r="P33" s="76">
        <f>N33/D33</f>
        <v>0.40677968246023799</v>
      </c>
      <c r="R33" s="125"/>
      <c r="S33" s="124"/>
    </row>
    <row r="34" spans="2:19" ht="15" customHeight="1" x14ac:dyDescent="0.3">
      <c r="B34" s="79" t="s">
        <v>32</v>
      </c>
      <c r="C34" s="3">
        <f>7626000*2</f>
        <v>15252000</v>
      </c>
      <c r="D34" s="33">
        <f>C34*12</f>
        <v>183024000</v>
      </c>
      <c r="E34" s="33">
        <v>11993030</v>
      </c>
      <c r="F34" s="33">
        <f t="shared" si="29"/>
        <v>11993030</v>
      </c>
      <c r="G34" s="35">
        <f>27636106-F34</f>
        <v>15643076</v>
      </c>
      <c r="H34" s="35">
        <f t="shared" ref="H34:H39" si="31">+F34+G34</f>
        <v>27636106</v>
      </c>
      <c r="I34" s="35">
        <v>15643076</v>
      </c>
      <c r="J34" s="35">
        <f t="shared" si="30"/>
        <v>43279182</v>
      </c>
      <c r="K34" s="35">
        <f>58922258-J34</f>
        <v>15643076</v>
      </c>
      <c r="L34" s="35">
        <f t="shared" ref="L34:L39" si="32">+J34+K34</f>
        <v>58922258</v>
      </c>
      <c r="M34" s="35">
        <f>74565334-L34</f>
        <v>15643076</v>
      </c>
      <c r="N34" s="35">
        <f t="shared" ref="N34:N39" si="33">+L34+M34</f>
        <v>74565334</v>
      </c>
      <c r="O34" s="35">
        <f t="shared" ref="O34:O39" si="34">D34-L34</f>
        <v>124101742</v>
      </c>
      <c r="P34" s="76">
        <f t="shared" ref="P34:P39" si="35">N34/D34</f>
        <v>0.40740741104991696</v>
      </c>
      <c r="R34" s="125"/>
      <c r="S34" s="124"/>
    </row>
    <row r="35" spans="2:19" ht="15" customHeight="1" x14ac:dyDescent="0.3">
      <c r="B35" s="79" t="s">
        <v>33</v>
      </c>
      <c r="C35" s="3">
        <v>6888000</v>
      </c>
      <c r="D35" s="33">
        <f>+C35*12</f>
        <v>82656000</v>
      </c>
      <c r="E35" s="33">
        <v>5603805</v>
      </c>
      <c r="F35" s="33">
        <f t="shared" si="29"/>
        <v>5603805</v>
      </c>
      <c r="G35" s="35">
        <f>12608550-F35</f>
        <v>7004745</v>
      </c>
      <c r="H35" s="35">
        <f t="shared" si="31"/>
        <v>12608550</v>
      </c>
      <c r="I35" s="35">
        <v>7004745</v>
      </c>
      <c r="J35" s="35">
        <f t="shared" si="30"/>
        <v>19613295</v>
      </c>
      <c r="K35" s="35">
        <f>26618040-J35</f>
        <v>7004745</v>
      </c>
      <c r="L35" s="35">
        <f t="shared" si="32"/>
        <v>26618040</v>
      </c>
      <c r="M35" s="35">
        <v>7004745</v>
      </c>
      <c r="N35" s="35">
        <f t="shared" si="33"/>
        <v>33622785</v>
      </c>
      <c r="O35" s="35">
        <f t="shared" si="34"/>
        <v>56037960</v>
      </c>
      <c r="P35" s="76">
        <f t="shared" si="35"/>
        <v>0.40677972560975612</v>
      </c>
      <c r="R35" s="125"/>
      <c r="S35" s="124"/>
    </row>
    <row r="36" spans="2:19" ht="15" customHeight="1" x14ac:dyDescent="0.3">
      <c r="B36" s="79" t="s">
        <v>34</v>
      </c>
      <c r="C36" s="3">
        <f>D36/12</f>
        <v>1533333.3333333333</v>
      </c>
      <c r="D36" s="33">
        <v>18400000</v>
      </c>
      <c r="E36" s="33"/>
      <c r="F36" s="33">
        <f t="shared" si="29"/>
        <v>0</v>
      </c>
      <c r="G36" s="35"/>
      <c r="H36" s="35">
        <f t="shared" si="31"/>
        <v>0</v>
      </c>
      <c r="I36" s="35"/>
      <c r="J36" s="35">
        <f t="shared" si="30"/>
        <v>0</v>
      </c>
      <c r="K36" s="35"/>
      <c r="L36" s="35">
        <f t="shared" si="32"/>
        <v>0</v>
      </c>
      <c r="M36" s="35">
        <v>0</v>
      </c>
      <c r="N36" s="35">
        <f t="shared" si="33"/>
        <v>0</v>
      </c>
      <c r="O36" s="35">
        <f t="shared" si="34"/>
        <v>18400000</v>
      </c>
      <c r="P36" s="76">
        <f t="shared" si="35"/>
        <v>0</v>
      </c>
      <c r="R36" s="125"/>
      <c r="S36" s="124"/>
    </row>
    <row r="37" spans="2:19" ht="15" customHeight="1" x14ac:dyDescent="0.3">
      <c r="B37" s="79" t="s">
        <v>35</v>
      </c>
      <c r="C37" s="3">
        <v>1800000</v>
      </c>
      <c r="D37" s="33">
        <f>C37*12</f>
        <v>21600000</v>
      </c>
      <c r="E37" s="33">
        <v>1415385</v>
      </c>
      <c r="F37" s="33">
        <f t="shared" si="29"/>
        <v>1415385</v>
      </c>
      <c r="G37" s="35">
        <f>3266813-F37</f>
        <v>1851428</v>
      </c>
      <c r="H37" s="35">
        <f t="shared" si="31"/>
        <v>3266813</v>
      </c>
      <c r="I37" s="35">
        <v>1851428</v>
      </c>
      <c r="J37" s="35">
        <f t="shared" si="30"/>
        <v>5118241</v>
      </c>
      <c r="K37" s="35">
        <f>6969669-J37</f>
        <v>1851428</v>
      </c>
      <c r="L37" s="35">
        <f t="shared" si="32"/>
        <v>6969669</v>
      </c>
      <c r="M37" s="35">
        <v>1851428</v>
      </c>
      <c r="N37" s="35">
        <f t="shared" si="33"/>
        <v>8821097</v>
      </c>
      <c r="O37" s="35">
        <f t="shared" si="34"/>
        <v>14630331</v>
      </c>
      <c r="P37" s="76">
        <f t="shared" si="35"/>
        <v>0.40838412037037036</v>
      </c>
      <c r="R37" s="125"/>
      <c r="S37" s="124"/>
    </row>
    <row r="38" spans="2:19" ht="15" customHeight="1" x14ac:dyDescent="0.3">
      <c r="B38" s="79" t="s">
        <v>36</v>
      </c>
      <c r="C38" s="3">
        <f>D38/12</f>
        <v>3200000</v>
      </c>
      <c r="D38" s="33">
        <v>38400000</v>
      </c>
      <c r="E38" s="33">
        <v>2727275</v>
      </c>
      <c r="F38" s="33">
        <f t="shared" si="29"/>
        <v>2727275</v>
      </c>
      <c r="G38" s="35">
        <f>5970270-F38-20</f>
        <v>3242975</v>
      </c>
      <c r="H38" s="35">
        <f t="shared" si="31"/>
        <v>5970250</v>
      </c>
      <c r="I38" s="35">
        <f>3242955+20</f>
        <v>3242975</v>
      </c>
      <c r="J38" s="35">
        <f t="shared" si="30"/>
        <v>9213225</v>
      </c>
      <c r="K38" s="35">
        <f>12456200-J38</f>
        <v>3242975</v>
      </c>
      <c r="L38" s="35">
        <f t="shared" si="32"/>
        <v>12456200</v>
      </c>
      <c r="M38" s="35">
        <v>3242975</v>
      </c>
      <c r="N38" s="35">
        <f t="shared" si="33"/>
        <v>15699175</v>
      </c>
      <c r="O38" s="35">
        <f t="shared" si="34"/>
        <v>25943800</v>
      </c>
      <c r="P38" s="76">
        <f t="shared" si="35"/>
        <v>0.40883268229166669</v>
      </c>
      <c r="R38" s="125"/>
    </row>
    <row r="39" spans="2:19" ht="15" customHeight="1" x14ac:dyDescent="0.3">
      <c r="B39" s="12" t="s">
        <v>37</v>
      </c>
      <c r="C39" s="3">
        <f>+D39/12</f>
        <v>3500000</v>
      </c>
      <c r="D39" s="4">
        <v>42000000</v>
      </c>
      <c r="E39" s="4"/>
      <c r="F39" s="33">
        <f t="shared" si="29"/>
        <v>0</v>
      </c>
      <c r="G39" s="35">
        <v>7000000</v>
      </c>
      <c r="H39" s="35">
        <f t="shared" si="31"/>
        <v>7000000</v>
      </c>
      <c r="I39" s="35">
        <v>7000000</v>
      </c>
      <c r="J39" s="35">
        <f t="shared" si="30"/>
        <v>14000000</v>
      </c>
      <c r="K39" s="35">
        <v>7000000</v>
      </c>
      <c r="L39" s="35">
        <f t="shared" si="32"/>
        <v>21000000</v>
      </c>
      <c r="M39" s="35">
        <v>7000000</v>
      </c>
      <c r="N39" s="35">
        <f t="shared" si="33"/>
        <v>28000000</v>
      </c>
      <c r="O39" s="4">
        <f t="shared" si="34"/>
        <v>21000000</v>
      </c>
      <c r="P39" s="76">
        <f t="shared" si="35"/>
        <v>0.66666666666666663</v>
      </c>
    </row>
    <row r="40" spans="2:19" ht="15" customHeight="1" x14ac:dyDescent="0.3">
      <c r="B40" s="115"/>
      <c r="C40" s="65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44"/>
    </row>
    <row r="41" spans="2:19" ht="15" customHeight="1" x14ac:dyDescent="0.3">
      <c r="B41" s="115"/>
      <c r="C41" s="65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44"/>
    </row>
    <row r="42" spans="2:19" ht="15" customHeight="1" x14ac:dyDescent="0.3">
      <c r="B42" s="115"/>
      <c r="C42" s="65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44"/>
    </row>
    <row r="43" spans="2:19" ht="15" customHeight="1" x14ac:dyDescent="0.3">
      <c r="B43" s="115"/>
      <c r="C43" s="65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44"/>
    </row>
    <row r="44" spans="2:19" ht="15" customHeight="1" x14ac:dyDescent="0.3">
      <c r="B44" s="115"/>
      <c r="C44" s="65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44"/>
    </row>
    <row r="45" spans="2:19" ht="15" customHeight="1" x14ac:dyDescent="0.3">
      <c r="B45" s="115"/>
      <c r="C45" s="65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44"/>
    </row>
    <row r="46" spans="2:19" ht="15" customHeight="1" x14ac:dyDescent="0.3">
      <c r="B46" s="120" t="s">
        <v>101</v>
      </c>
      <c r="C46" s="111" t="s">
        <v>2</v>
      </c>
      <c r="D46" s="111" t="s">
        <v>3</v>
      </c>
      <c r="E46" s="112" t="s">
        <v>4</v>
      </c>
      <c r="F46" s="112" t="s">
        <v>99</v>
      </c>
      <c r="G46" s="112" t="s">
        <v>93</v>
      </c>
      <c r="H46" s="112" t="s">
        <v>98</v>
      </c>
      <c r="I46" s="112" t="s">
        <v>94</v>
      </c>
      <c r="J46" s="112" t="s">
        <v>97</v>
      </c>
      <c r="K46" s="112" t="s">
        <v>95</v>
      </c>
      <c r="L46" s="112" t="s">
        <v>96</v>
      </c>
      <c r="M46" s="112" t="s">
        <v>109</v>
      </c>
      <c r="N46" s="112" t="s">
        <v>110</v>
      </c>
      <c r="O46" s="112" t="s">
        <v>5</v>
      </c>
      <c r="P46" s="113" t="s">
        <v>6</v>
      </c>
    </row>
    <row r="47" spans="2:19" ht="15" customHeight="1" thickBot="1" x14ac:dyDescent="0.35">
      <c r="B47" s="108" t="s">
        <v>38</v>
      </c>
      <c r="C47" s="109">
        <f>SUM(C48:C49)</f>
        <v>17235381.333333332</v>
      </c>
      <c r="D47" s="107">
        <f>SUM(D48:D49)</f>
        <v>206824576</v>
      </c>
      <c r="E47" s="107">
        <f t="shared" ref="E47" si="36">SUM(E48:E49)</f>
        <v>9755287</v>
      </c>
      <c r="F47" s="107">
        <f>SUM(F48:F49)</f>
        <v>9755287</v>
      </c>
      <c r="G47" s="107">
        <f t="shared" ref="G47:H47" si="37">SUM(G48:G49)</f>
        <v>9744991</v>
      </c>
      <c r="H47" s="107">
        <f t="shared" si="37"/>
        <v>19500278</v>
      </c>
      <c r="I47" s="107">
        <f t="shared" ref="I47" si="38">SUM(I48:I49)</f>
        <v>9984776</v>
      </c>
      <c r="J47" s="107">
        <f t="shared" ref="J47:N47" si="39">SUM(J48:J49)</f>
        <v>29485054</v>
      </c>
      <c r="K47" s="107">
        <f t="shared" si="39"/>
        <v>9852945</v>
      </c>
      <c r="L47" s="107">
        <f t="shared" si="39"/>
        <v>39337999</v>
      </c>
      <c r="M47" s="107">
        <f t="shared" si="39"/>
        <v>9911299</v>
      </c>
      <c r="N47" s="107">
        <f t="shared" si="39"/>
        <v>49249298</v>
      </c>
      <c r="O47" s="107">
        <f>SUM(O48:O49)</f>
        <v>157575278</v>
      </c>
      <c r="P47" s="107">
        <f>N47/D47</f>
        <v>0.23812111187405505</v>
      </c>
    </row>
    <row r="48" spans="2:19" ht="15" customHeight="1" x14ac:dyDescent="0.3">
      <c r="B48" s="86" t="s">
        <v>39</v>
      </c>
      <c r="C48" s="15">
        <f>D48/12</f>
        <v>7735381.333333333</v>
      </c>
      <c r="D48" s="16">
        <v>92824576</v>
      </c>
      <c r="E48" s="63">
        <v>7735000</v>
      </c>
      <c r="F48" s="16">
        <f t="shared" ref="F48:F49" si="40">E48</f>
        <v>7735000</v>
      </c>
      <c r="G48" s="16">
        <f>15470000-F48</f>
        <v>7735000</v>
      </c>
      <c r="H48" s="16">
        <f>+F48+G48</f>
        <v>15470000</v>
      </c>
      <c r="I48" s="16">
        <f>23205000-H48</f>
        <v>7735000</v>
      </c>
      <c r="J48" s="16">
        <f>+H48+I48</f>
        <v>23205000</v>
      </c>
      <c r="K48" s="16">
        <f>30940000-J48</f>
        <v>7735000</v>
      </c>
      <c r="L48" s="16">
        <f>+J48+K48</f>
        <v>30940000</v>
      </c>
      <c r="M48" s="16">
        <v>7735000</v>
      </c>
      <c r="N48" s="16">
        <f>+L48+M48</f>
        <v>38675000</v>
      </c>
      <c r="O48" s="16">
        <f>D48-N48</f>
        <v>54149576</v>
      </c>
      <c r="P48" s="76">
        <f>N48/D48</f>
        <v>0.41664612612935609</v>
      </c>
    </row>
    <row r="49" spans="2:18" ht="15" customHeight="1" x14ac:dyDescent="0.3">
      <c r="B49" s="79" t="s">
        <v>40</v>
      </c>
      <c r="C49" s="3">
        <f>D49/12</f>
        <v>9500000</v>
      </c>
      <c r="D49" s="4">
        <v>114000000</v>
      </c>
      <c r="E49" s="47">
        <v>2020287</v>
      </c>
      <c r="F49" s="4">
        <f t="shared" si="40"/>
        <v>2020287</v>
      </c>
      <c r="G49" s="4">
        <f>4030278-F49</f>
        <v>2009991</v>
      </c>
      <c r="H49" s="16">
        <f>+F49+G49</f>
        <v>4030278</v>
      </c>
      <c r="I49" s="16">
        <f>6280054-H49</f>
        <v>2249776</v>
      </c>
      <c r="J49" s="16">
        <f>+H49+I49</f>
        <v>6280054</v>
      </c>
      <c r="K49" s="16">
        <f>8397999-J49</f>
        <v>2117945</v>
      </c>
      <c r="L49" s="16">
        <f>+J49+K49</f>
        <v>8397999</v>
      </c>
      <c r="M49" s="16">
        <f>10574298-L49</f>
        <v>2176299</v>
      </c>
      <c r="N49" s="16">
        <f>+L49+M49</f>
        <v>10574298</v>
      </c>
      <c r="O49" s="16">
        <f>D49-N49</f>
        <v>103425702</v>
      </c>
      <c r="P49" s="76">
        <f>N49/D49</f>
        <v>9.2757000000000006E-2</v>
      </c>
    </row>
    <row r="50" spans="2:18" ht="15" customHeight="1" thickBot="1" x14ac:dyDescent="0.35">
      <c r="B50" s="88"/>
      <c r="C50" s="65"/>
      <c r="D50" s="39"/>
      <c r="E50" s="70"/>
      <c r="F50" s="70"/>
      <c r="G50" s="70"/>
      <c r="H50" s="70"/>
      <c r="I50" s="70"/>
      <c r="J50" s="70"/>
      <c r="K50" s="70"/>
      <c r="L50" s="70"/>
      <c r="M50" s="70"/>
      <c r="N50" s="70"/>
      <c r="O50" s="70"/>
      <c r="P50" s="87"/>
    </row>
    <row r="51" spans="2:18" ht="15" customHeight="1" x14ac:dyDescent="0.3">
      <c r="B51" s="66" t="s">
        <v>41</v>
      </c>
      <c r="C51" s="67">
        <f>C52</f>
        <v>191666.66666666666</v>
      </c>
      <c r="D51" s="68">
        <f>+D52</f>
        <v>2300000</v>
      </c>
      <c r="E51" s="68">
        <f t="shared" ref="E51:O51" si="41">+E52</f>
        <v>0</v>
      </c>
      <c r="F51" s="68">
        <f t="shared" si="41"/>
        <v>0</v>
      </c>
      <c r="G51" s="68">
        <f t="shared" si="41"/>
        <v>0</v>
      </c>
      <c r="H51" s="68">
        <f t="shared" si="41"/>
        <v>0</v>
      </c>
      <c r="I51" s="68">
        <f t="shared" si="41"/>
        <v>0</v>
      </c>
      <c r="J51" s="68">
        <f t="shared" si="41"/>
        <v>0</v>
      </c>
      <c r="K51" s="68">
        <f t="shared" si="41"/>
        <v>0</v>
      </c>
      <c r="L51" s="68">
        <f t="shared" si="41"/>
        <v>0</v>
      </c>
      <c r="M51" s="68">
        <f t="shared" si="41"/>
        <v>0</v>
      </c>
      <c r="N51" s="68">
        <f t="shared" si="41"/>
        <v>0</v>
      </c>
      <c r="O51" s="68">
        <f t="shared" si="41"/>
        <v>2300000</v>
      </c>
      <c r="P51" s="69">
        <f>F51/D51</f>
        <v>0</v>
      </c>
    </row>
    <row r="52" spans="2:18" ht="15" customHeight="1" thickBot="1" x14ac:dyDescent="0.35">
      <c r="B52" s="18" t="s">
        <v>42</v>
      </c>
      <c r="C52" s="17">
        <f>D52/12</f>
        <v>191666.66666666666</v>
      </c>
      <c r="D52" s="17">
        <v>2300000</v>
      </c>
      <c r="E52" s="17"/>
      <c r="F52" s="4">
        <f t="shared" ref="F52" si="42">E52</f>
        <v>0</v>
      </c>
      <c r="G52" s="4">
        <v>0</v>
      </c>
      <c r="H52" s="4">
        <f>+G52+F52</f>
        <v>0</v>
      </c>
      <c r="I52" s="4"/>
      <c r="J52" s="4">
        <f>+H52+I52</f>
        <v>0</v>
      </c>
      <c r="K52" s="4">
        <v>0</v>
      </c>
      <c r="L52" s="4">
        <v>0</v>
      </c>
      <c r="M52" s="4"/>
      <c r="N52" s="4"/>
      <c r="O52" s="17">
        <f>D52-F52</f>
        <v>2300000</v>
      </c>
      <c r="P52" s="54">
        <f>F52/D52</f>
        <v>0</v>
      </c>
    </row>
    <row r="53" spans="2:18" ht="15" customHeight="1" thickBot="1" x14ac:dyDescent="0.35">
      <c r="B53" s="64" t="s">
        <v>43</v>
      </c>
      <c r="C53" s="58">
        <f t="shared" ref="C53:O53" si="43">SUM(C54:C70)</f>
        <v>14588746.833333332</v>
      </c>
      <c r="D53" s="59">
        <f t="shared" si="43"/>
        <v>175064962</v>
      </c>
      <c r="E53" s="59">
        <f t="shared" si="43"/>
        <v>15627648</v>
      </c>
      <c r="F53" s="59">
        <f t="shared" si="43"/>
        <v>15627648</v>
      </c>
      <c r="G53" s="59">
        <f t="shared" si="43"/>
        <v>10007504</v>
      </c>
      <c r="H53" s="59">
        <f t="shared" si="43"/>
        <v>25635152</v>
      </c>
      <c r="I53" s="59">
        <f t="shared" si="43"/>
        <v>9783751</v>
      </c>
      <c r="J53" s="59">
        <f t="shared" si="43"/>
        <v>35418903</v>
      </c>
      <c r="K53" s="59">
        <f t="shared" ref="K53" si="44">SUM(K54:K70)</f>
        <v>13713895</v>
      </c>
      <c r="L53" s="59">
        <f t="shared" ref="L53:N53" si="45">SUM(L54:L70)</f>
        <v>49132798</v>
      </c>
      <c r="M53" s="59">
        <f>SUM(M54:M70)</f>
        <v>12693278</v>
      </c>
      <c r="N53" s="59">
        <f t="shared" si="45"/>
        <v>61826076</v>
      </c>
      <c r="O53" s="59">
        <f t="shared" si="43"/>
        <v>113238886</v>
      </c>
      <c r="P53" s="78">
        <f>J53/D53</f>
        <v>0.20231862844148105</v>
      </c>
    </row>
    <row r="54" spans="2:18" ht="15" customHeight="1" x14ac:dyDescent="0.3">
      <c r="B54" s="86" t="s">
        <v>44</v>
      </c>
      <c r="C54" s="16">
        <f>D54/12</f>
        <v>375000</v>
      </c>
      <c r="D54" s="35">
        <v>4500000</v>
      </c>
      <c r="E54" s="35"/>
      <c r="F54" s="33">
        <f t="shared" ref="F54:F84" si="46">E54</f>
        <v>0</v>
      </c>
      <c r="G54" s="35"/>
      <c r="H54" s="35">
        <f>+F54+G54</f>
        <v>0</v>
      </c>
      <c r="I54" s="35">
        <v>1400000</v>
      </c>
      <c r="J54" s="35">
        <f t="shared" ref="J54:J66" si="47">+H54+I54</f>
        <v>1400000</v>
      </c>
      <c r="K54" s="35">
        <f>1668496-J54</f>
        <v>268496</v>
      </c>
      <c r="L54" s="35">
        <f>+J54+K54</f>
        <v>1668496</v>
      </c>
      <c r="M54" s="35">
        <f>1828496-L54</f>
        <v>160000</v>
      </c>
      <c r="N54" s="35">
        <f>+L54+M54</f>
        <v>1828496</v>
      </c>
      <c r="O54" s="35">
        <f>D54-N54</f>
        <v>2671504</v>
      </c>
      <c r="P54" s="76">
        <f>N54/D54</f>
        <v>0.40633244444444444</v>
      </c>
      <c r="R54" s="125"/>
    </row>
    <row r="55" spans="2:18" ht="15" customHeight="1" x14ac:dyDescent="0.3">
      <c r="B55" s="79" t="s">
        <v>45</v>
      </c>
      <c r="C55" s="16">
        <f>D55/12</f>
        <v>333333.33333333331</v>
      </c>
      <c r="D55" s="33">
        <v>4000000</v>
      </c>
      <c r="E55" s="33"/>
      <c r="F55" s="33">
        <f t="shared" si="46"/>
        <v>0</v>
      </c>
      <c r="G55" s="35"/>
      <c r="H55" s="35">
        <f t="shared" ref="H55:H70" si="48">+F55+G55</f>
        <v>0</v>
      </c>
      <c r="I55" s="35"/>
      <c r="J55" s="35">
        <f t="shared" si="47"/>
        <v>0</v>
      </c>
      <c r="K55" s="35"/>
      <c r="L55" s="35">
        <f t="shared" ref="L55:L70" si="49">+J55+K55</f>
        <v>0</v>
      </c>
      <c r="M55" s="35">
        <v>1730000</v>
      </c>
      <c r="N55" s="35">
        <f t="shared" ref="N55:N70" si="50">+L55+M55</f>
        <v>1730000</v>
      </c>
      <c r="O55" s="35">
        <f t="shared" ref="O55:O70" si="51">D55-N55</f>
        <v>2270000</v>
      </c>
      <c r="P55" s="76">
        <f t="shared" ref="P55:P70" si="52">N55/D55</f>
        <v>0.4325</v>
      </c>
      <c r="R55" s="125"/>
    </row>
    <row r="56" spans="2:18" ht="15" customHeight="1" x14ac:dyDescent="0.3">
      <c r="B56" s="79" t="s">
        <v>46</v>
      </c>
      <c r="C56" s="16">
        <v>2500000</v>
      </c>
      <c r="D56" s="33">
        <f>+C56*12</f>
        <v>30000000</v>
      </c>
      <c r="E56" s="33">
        <v>1965812</v>
      </c>
      <c r="F56" s="33">
        <f t="shared" si="46"/>
        <v>1965812</v>
      </c>
      <c r="G56" s="35">
        <f>4529914-F56</f>
        <v>2564102</v>
      </c>
      <c r="H56" s="35">
        <f t="shared" si="48"/>
        <v>4529914</v>
      </c>
      <c r="I56" s="35">
        <f>7094016-H56</f>
        <v>2564102</v>
      </c>
      <c r="J56" s="35">
        <f t="shared" si="47"/>
        <v>7094016</v>
      </c>
      <c r="K56" s="35">
        <f>9658118-J56</f>
        <v>2564102</v>
      </c>
      <c r="L56" s="35">
        <f t="shared" si="49"/>
        <v>9658118</v>
      </c>
      <c r="M56" s="35">
        <f>12222220-L56</f>
        <v>2564102</v>
      </c>
      <c r="N56" s="35">
        <f t="shared" si="50"/>
        <v>12222220</v>
      </c>
      <c r="O56" s="35">
        <f t="shared" si="51"/>
        <v>17777780</v>
      </c>
      <c r="P56" s="76">
        <f t="shared" si="52"/>
        <v>0.40740733333333334</v>
      </c>
      <c r="R56" s="125"/>
    </row>
    <row r="57" spans="2:18" ht="15" customHeight="1" x14ac:dyDescent="0.3">
      <c r="B57" s="79" t="s">
        <v>47</v>
      </c>
      <c r="C57" s="16">
        <v>120000</v>
      </c>
      <c r="D57" s="33">
        <f>C57*12</f>
        <v>1440000</v>
      </c>
      <c r="E57" s="33">
        <v>108534</v>
      </c>
      <c r="F57" s="33">
        <f t="shared" si="46"/>
        <v>108534</v>
      </c>
      <c r="G57" s="35">
        <f>217068-F57</f>
        <v>108534</v>
      </c>
      <c r="H57" s="35">
        <f>+F57+G57</f>
        <v>217068</v>
      </c>
      <c r="I57" s="35">
        <f>754866-H57</f>
        <v>537798</v>
      </c>
      <c r="J57" s="35">
        <f t="shared" si="47"/>
        <v>754866</v>
      </c>
      <c r="K57" s="35">
        <f>863400-J57</f>
        <v>108534</v>
      </c>
      <c r="L57" s="35">
        <f t="shared" si="49"/>
        <v>863400</v>
      </c>
      <c r="M57" s="35">
        <v>108534</v>
      </c>
      <c r="N57" s="35">
        <f t="shared" si="50"/>
        <v>971934</v>
      </c>
      <c r="O57" s="35">
        <f t="shared" si="51"/>
        <v>468066</v>
      </c>
      <c r="P57" s="76">
        <f t="shared" si="52"/>
        <v>0.67495416666666663</v>
      </c>
      <c r="R57" s="125"/>
    </row>
    <row r="58" spans="2:18" ht="15" customHeight="1" x14ac:dyDescent="0.3">
      <c r="B58" s="79" t="s">
        <v>48</v>
      </c>
      <c r="C58" s="16">
        <v>220000</v>
      </c>
      <c r="D58" s="33">
        <f>C58*12</f>
        <v>2640000</v>
      </c>
      <c r="E58" s="33">
        <v>208310</v>
      </c>
      <c r="F58" s="33">
        <f t="shared" si="46"/>
        <v>208310</v>
      </c>
      <c r="G58" s="35">
        <f>450740-F58</f>
        <v>242430</v>
      </c>
      <c r="H58" s="35">
        <f>+F58+G58</f>
        <v>450740</v>
      </c>
      <c r="I58" s="35">
        <f>710240-H58</f>
        <v>259500</v>
      </c>
      <c r="J58" s="35">
        <f t="shared" si="47"/>
        <v>710240</v>
      </c>
      <c r="K58" s="35">
        <f>1049850-J58</f>
        <v>339610</v>
      </c>
      <c r="L58" s="35">
        <f t="shared" si="49"/>
        <v>1049850</v>
      </c>
      <c r="M58" s="35">
        <f>1361840-L58</f>
        <v>311990</v>
      </c>
      <c r="N58" s="35">
        <f t="shared" si="50"/>
        <v>1361840</v>
      </c>
      <c r="O58" s="35">
        <f t="shared" si="51"/>
        <v>1278160</v>
      </c>
      <c r="P58" s="76">
        <f t="shared" si="52"/>
        <v>0.51584848484848489</v>
      </c>
      <c r="R58" s="125"/>
    </row>
    <row r="59" spans="2:18" ht="15" customHeight="1" x14ac:dyDescent="0.3">
      <c r="B59" s="12" t="s">
        <v>49</v>
      </c>
      <c r="C59" s="4">
        <f>D59/12</f>
        <v>666666.66666666663</v>
      </c>
      <c r="D59" s="4">
        <v>8000000</v>
      </c>
      <c r="E59" s="4"/>
      <c r="F59" s="4">
        <f t="shared" si="46"/>
        <v>0</v>
      </c>
      <c r="G59" s="4"/>
      <c r="H59" s="35">
        <f t="shared" si="48"/>
        <v>0</v>
      </c>
      <c r="I59" s="35"/>
      <c r="J59" s="35">
        <f t="shared" si="47"/>
        <v>0</v>
      </c>
      <c r="K59" s="35"/>
      <c r="L59" s="35">
        <f t="shared" si="49"/>
        <v>0</v>
      </c>
      <c r="M59" s="35"/>
      <c r="N59" s="35">
        <f t="shared" si="50"/>
        <v>0</v>
      </c>
      <c r="O59" s="35">
        <f t="shared" si="51"/>
        <v>8000000</v>
      </c>
      <c r="P59" s="76">
        <f t="shared" si="52"/>
        <v>0</v>
      </c>
      <c r="R59" s="125"/>
    </row>
    <row r="60" spans="2:18" ht="15" customHeight="1" x14ac:dyDescent="0.3">
      <c r="B60" s="12" t="s">
        <v>50</v>
      </c>
      <c r="C60" s="4">
        <f>D60/12</f>
        <v>250000</v>
      </c>
      <c r="D60" s="4">
        <v>3000000</v>
      </c>
      <c r="E60" s="4"/>
      <c r="F60" s="4">
        <f t="shared" si="46"/>
        <v>0</v>
      </c>
      <c r="G60" s="4"/>
      <c r="H60" s="35">
        <f t="shared" si="48"/>
        <v>0</v>
      </c>
      <c r="I60" s="35"/>
      <c r="J60" s="35">
        <f t="shared" si="47"/>
        <v>0</v>
      </c>
      <c r="K60" s="35"/>
      <c r="L60" s="35">
        <f t="shared" si="49"/>
        <v>0</v>
      </c>
      <c r="M60" s="35"/>
      <c r="N60" s="35">
        <f t="shared" si="50"/>
        <v>0</v>
      </c>
      <c r="O60" s="35">
        <f t="shared" si="51"/>
        <v>3000000</v>
      </c>
      <c r="P60" s="76">
        <f t="shared" si="52"/>
        <v>0</v>
      </c>
      <c r="R60" s="125"/>
    </row>
    <row r="61" spans="2:18" ht="15" customHeight="1" x14ac:dyDescent="0.3">
      <c r="B61" s="79" t="s">
        <v>51</v>
      </c>
      <c r="C61" s="16">
        <v>3900000</v>
      </c>
      <c r="D61" s="33">
        <f>C61*12</f>
        <v>46800000</v>
      </c>
      <c r="E61" s="33">
        <v>2143800</v>
      </c>
      <c r="F61" s="33">
        <f t="shared" si="46"/>
        <v>2143800</v>
      </c>
      <c r="G61" s="35">
        <f>4405230-F61</f>
        <v>2261430</v>
      </c>
      <c r="H61" s="35">
        <f t="shared" si="48"/>
        <v>4405230</v>
      </c>
      <c r="I61" s="35">
        <f>6853120-H61</f>
        <v>2447890</v>
      </c>
      <c r="J61" s="35">
        <f t="shared" si="47"/>
        <v>6853120</v>
      </c>
      <c r="K61" s="35">
        <f>9604770-J61</f>
        <v>2751650</v>
      </c>
      <c r="L61" s="35">
        <f t="shared" si="49"/>
        <v>9604770</v>
      </c>
      <c r="M61" s="35">
        <f>12711350-L61</f>
        <v>3106580</v>
      </c>
      <c r="N61" s="35">
        <f t="shared" si="50"/>
        <v>12711350</v>
      </c>
      <c r="O61" s="35">
        <f t="shared" si="51"/>
        <v>34088650</v>
      </c>
      <c r="P61" s="76">
        <f t="shared" si="52"/>
        <v>0.27161004273504274</v>
      </c>
      <c r="R61" s="125"/>
    </row>
    <row r="62" spans="2:18" ht="15" customHeight="1" x14ac:dyDescent="0.3">
      <c r="B62" s="79" t="s">
        <v>52</v>
      </c>
      <c r="C62" s="16">
        <v>863000</v>
      </c>
      <c r="D62" s="33">
        <f>C62*12</f>
        <v>10356000</v>
      </c>
      <c r="E62" s="33">
        <v>787426</v>
      </c>
      <c r="F62" s="33">
        <f t="shared" si="46"/>
        <v>787426</v>
      </c>
      <c r="G62" s="35">
        <f>1574852-F62</f>
        <v>787426</v>
      </c>
      <c r="H62" s="35">
        <f t="shared" si="48"/>
        <v>1574852</v>
      </c>
      <c r="I62" s="35">
        <f>2370346-H62</f>
        <v>795494</v>
      </c>
      <c r="J62" s="35">
        <f t="shared" si="47"/>
        <v>2370346</v>
      </c>
      <c r="K62" s="35">
        <f>3143956-J62</f>
        <v>773610</v>
      </c>
      <c r="L62" s="35">
        <f t="shared" si="49"/>
        <v>3143956</v>
      </c>
      <c r="M62" s="35">
        <f>3969871-L62</f>
        <v>825915</v>
      </c>
      <c r="N62" s="35">
        <f t="shared" si="50"/>
        <v>3969871</v>
      </c>
      <c r="O62" s="35">
        <f t="shared" si="51"/>
        <v>6386129</v>
      </c>
      <c r="P62" s="76">
        <f t="shared" si="52"/>
        <v>0.38334018926226343</v>
      </c>
      <c r="R62" s="125"/>
    </row>
    <row r="63" spans="2:18" ht="15" customHeight="1" x14ac:dyDescent="0.3">
      <c r="B63" s="90" t="s">
        <v>53</v>
      </c>
      <c r="C63" s="4">
        <f>D63/12</f>
        <v>623746.83333333337</v>
      </c>
      <c r="D63" s="33">
        <v>7484962</v>
      </c>
      <c r="E63" s="33">
        <v>5752814</v>
      </c>
      <c r="F63" s="33">
        <f t="shared" si="46"/>
        <v>5752814</v>
      </c>
      <c r="G63" s="35">
        <v>0</v>
      </c>
      <c r="H63" s="35">
        <f t="shared" si="48"/>
        <v>5752814</v>
      </c>
      <c r="I63" s="35">
        <v>0</v>
      </c>
      <c r="J63" s="35">
        <f t="shared" si="47"/>
        <v>5752814</v>
      </c>
      <c r="K63" s="35">
        <v>0</v>
      </c>
      <c r="L63" s="35">
        <f t="shared" si="49"/>
        <v>5752814</v>
      </c>
      <c r="M63" s="35"/>
      <c r="N63" s="35">
        <f t="shared" si="50"/>
        <v>5752814</v>
      </c>
      <c r="O63" s="35">
        <f t="shared" si="51"/>
        <v>1732148</v>
      </c>
      <c r="P63" s="76">
        <f t="shared" si="52"/>
        <v>0.7685829266735088</v>
      </c>
      <c r="R63" s="125"/>
    </row>
    <row r="64" spans="2:18" ht="15" customHeight="1" x14ac:dyDescent="0.3">
      <c r="B64" s="79" t="s">
        <v>54</v>
      </c>
      <c r="C64" s="16">
        <v>2400000</v>
      </c>
      <c r="D64" s="33">
        <f>C64*12</f>
        <v>28800000</v>
      </c>
      <c r="E64" s="33">
        <v>1841405</v>
      </c>
      <c r="F64" s="33">
        <f t="shared" si="46"/>
        <v>1841405</v>
      </c>
      <c r="G64" s="35">
        <f>4109065-F64</f>
        <v>2267660</v>
      </c>
      <c r="H64" s="35">
        <f t="shared" si="48"/>
        <v>4109065</v>
      </c>
      <c r="I64" s="35">
        <f>4109065-H64</f>
        <v>0</v>
      </c>
      <c r="J64" s="35">
        <f t="shared" si="47"/>
        <v>4109065</v>
      </c>
      <c r="K64" s="35">
        <f>9118251-J64</f>
        <v>5009186</v>
      </c>
      <c r="L64" s="35">
        <f t="shared" si="49"/>
        <v>9118251</v>
      </c>
      <c r="M64" s="35">
        <f>11228359-L64</f>
        <v>2110108</v>
      </c>
      <c r="N64" s="35">
        <f t="shared" si="50"/>
        <v>11228359</v>
      </c>
      <c r="O64" s="35">
        <f t="shared" si="51"/>
        <v>17571641</v>
      </c>
      <c r="P64" s="76">
        <f t="shared" si="52"/>
        <v>0.38987357638888887</v>
      </c>
      <c r="R64" s="125"/>
    </row>
    <row r="65" spans="2:18" ht="15" customHeight="1" x14ac:dyDescent="0.3">
      <c r="B65" s="79" t="s">
        <v>55</v>
      </c>
      <c r="C65" s="16">
        <f t="shared" ref="C65:C69" si="53">D65/12</f>
        <v>166666.66666666666</v>
      </c>
      <c r="D65" s="33">
        <v>2000000</v>
      </c>
      <c r="E65" s="33"/>
      <c r="F65" s="33">
        <f t="shared" si="46"/>
        <v>0</v>
      </c>
      <c r="G65" s="35"/>
      <c r="H65" s="35">
        <f t="shared" si="48"/>
        <v>0</v>
      </c>
      <c r="I65" s="35"/>
      <c r="J65" s="35">
        <f t="shared" si="47"/>
        <v>0</v>
      </c>
      <c r="K65" s="35"/>
      <c r="L65" s="35">
        <f t="shared" si="49"/>
        <v>0</v>
      </c>
      <c r="M65" s="35"/>
      <c r="N65" s="35">
        <f t="shared" si="50"/>
        <v>0</v>
      </c>
      <c r="O65" s="35">
        <f t="shared" si="51"/>
        <v>2000000</v>
      </c>
      <c r="P65" s="76">
        <f t="shared" si="52"/>
        <v>0</v>
      </c>
      <c r="R65" s="125"/>
    </row>
    <row r="66" spans="2:18" ht="15" customHeight="1" x14ac:dyDescent="0.3">
      <c r="B66" s="79" t="s">
        <v>56</v>
      </c>
      <c r="C66" s="16">
        <v>37000</v>
      </c>
      <c r="D66" s="33">
        <f>C66*12</f>
        <v>444000</v>
      </c>
      <c r="E66" s="33">
        <v>23732</v>
      </c>
      <c r="F66" s="33">
        <f t="shared" si="46"/>
        <v>23732</v>
      </c>
      <c r="G66" s="35">
        <f>47389-F66</f>
        <v>23657</v>
      </c>
      <c r="H66" s="35">
        <f t="shared" si="48"/>
        <v>47389</v>
      </c>
      <c r="I66" s="35">
        <f>74091-H66</f>
        <v>26702</v>
      </c>
      <c r="J66" s="35">
        <f t="shared" si="47"/>
        <v>74091</v>
      </c>
      <c r="K66" s="35">
        <f>100533-J66</f>
        <v>26442</v>
      </c>
      <c r="L66" s="35">
        <f t="shared" si="49"/>
        <v>100533</v>
      </c>
      <c r="M66" s="35">
        <f>124317-L66</f>
        <v>23784</v>
      </c>
      <c r="N66" s="35">
        <f t="shared" si="50"/>
        <v>124317</v>
      </c>
      <c r="O66" s="35">
        <f t="shared" si="51"/>
        <v>319683</v>
      </c>
      <c r="P66" s="76">
        <f t="shared" si="52"/>
        <v>0.27999324324324326</v>
      </c>
      <c r="R66" s="125"/>
    </row>
    <row r="67" spans="2:18" ht="15" customHeight="1" x14ac:dyDescent="0.3">
      <c r="B67" s="79" t="s">
        <v>100</v>
      </c>
      <c r="C67" s="16">
        <v>0</v>
      </c>
      <c r="D67" s="33">
        <v>0</v>
      </c>
      <c r="E67" s="33"/>
      <c r="F67" s="33"/>
      <c r="G67" s="35"/>
      <c r="H67" s="35"/>
      <c r="I67" s="35"/>
      <c r="J67" s="35"/>
      <c r="K67" s="35">
        <v>120000</v>
      </c>
      <c r="L67" s="35">
        <f t="shared" si="49"/>
        <v>120000</v>
      </c>
      <c r="M67" s="35"/>
      <c r="N67" s="35">
        <f t="shared" si="50"/>
        <v>120000</v>
      </c>
      <c r="O67" s="35">
        <f t="shared" si="51"/>
        <v>-120000</v>
      </c>
      <c r="P67" s="76"/>
    </row>
    <row r="68" spans="2:18" ht="15" customHeight="1" x14ac:dyDescent="0.3">
      <c r="B68" s="79" t="s">
        <v>57</v>
      </c>
      <c r="C68" s="16">
        <v>1800000</v>
      </c>
      <c r="D68" s="33">
        <f>C68*12</f>
        <v>21600000</v>
      </c>
      <c r="E68" s="33">
        <v>1752265</v>
      </c>
      <c r="F68" s="33">
        <f t="shared" si="46"/>
        <v>1752265</v>
      </c>
      <c r="G68" s="35">
        <f>3504530-F68</f>
        <v>1752265</v>
      </c>
      <c r="H68" s="35">
        <f t="shared" si="48"/>
        <v>3504530</v>
      </c>
      <c r="I68" s="35">
        <f>5256795-H68</f>
        <v>1752265</v>
      </c>
      <c r="J68" s="35">
        <f>+H68+I68</f>
        <v>5256795</v>
      </c>
      <c r="K68" s="35">
        <f>7009060-J68</f>
        <v>1752265</v>
      </c>
      <c r="L68" s="35">
        <f t="shared" si="49"/>
        <v>7009060</v>
      </c>
      <c r="M68" s="35">
        <f>8761325-L68</f>
        <v>1752265</v>
      </c>
      <c r="N68" s="35">
        <f t="shared" si="50"/>
        <v>8761325</v>
      </c>
      <c r="O68" s="35">
        <f t="shared" si="51"/>
        <v>12838675</v>
      </c>
      <c r="P68" s="76">
        <f t="shared" si="52"/>
        <v>0.40561689814814816</v>
      </c>
    </row>
    <row r="69" spans="2:18" ht="15" customHeight="1" x14ac:dyDescent="0.3">
      <c r="B69" s="79" t="s">
        <v>58</v>
      </c>
      <c r="C69" s="16">
        <f t="shared" si="53"/>
        <v>166666.66666666666</v>
      </c>
      <c r="D69" s="33">
        <v>2000000</v>
      </c>
      <c r="E69" s="33">
        <v>1043550</v>
      </c>
      <c r="F69" s="33">
        <f t="shared" si="46"/>
        <v>1043550</v>
      </c>
      <c r="G69" s="35">
        <v>0</v>
      </c>
      <c r="H69" s="35">
        <f t="shared" si="48"/>
        <v>1043550</v>
      </c>
      <c r="I69" s="35"/>
      <c r="J69" s="35">
        <f>+H69+I69</f>
        <v>1043550</v>
      </c>
      <c r="K69" s="35">
        <f>1043550-J69</f>
        <v>0</v>
      </c>
      <c r="L69" s="35">
        <f t="shared" si="49"/>
        <v>1043550</v>
      </c>
      <c r="M69" s="35"/>
      <c r="N69" s="35">
        <f t="shared" si="50"/>
        <v>1043550</v>
      </c>
      <c r="O69" s="35">
        <f t="shared" si="51"/>
        <v>956450</v>
      </c>
      <c r="P69" s="76">
        <f t="shared" si="52"/>
        <v>0.52177499999999999</v>
      </c>
    </row>
    <row r="70" spans="2:18" ht="15" customHeight="1" thickBot="1" x14ac:dyDescent="0.35">
      <c r="B70" s="91" t="s">
        <v>59</v>
      </c>
      <c r="C70" s="16">
        <f>D70/12</f>
        <v>166666.66666666666</v>
      </c>
      <c r="D70" s="33">
        <v>2000000</v>
      </c>
      <c r="E70" s="33"/>
      <c r="F70" s="33">
        <f t="shared" si="46"/>
        <v>0</v>
      </c>
      <c r="G70" s="35"/>
      <c r="H70" s="35">
        <f t="shared" si="48"/>
        <v>0</v>
      </c>
      <c r="I70" s="35"/>
      <c r="J70" s="35">
        <f>+H70+I70</f>
        <v>0</v>
      </c>
      <c r="K70" s="35"/>
      <c r="L70" s="35">
        <f t="shared" si="49"/>
        <v>0</v>
      </c>
      <c r="M70" s="35"/>
      <c r="N70" s="35">
        <f t="shared" si="50"/>
        <v>0</v>
      </c>
      <c r="O70" s="35">
        <f t="shared" si="51"/>
        <v>2000000</v>
      </c>
      <c r="P70" s="76">
        <f t="shared" si="52"/>
        <v>0</v>
      </c>
    </row>
    <row r="71" spans="2:18" ht="15" customHeight="1" thickBot="1" x14ac:dyDescent="0.35">
      <c r="B71" s="19" t="s">
        <v>60</v>
      </c>
      <c r="C71" s="20">
        <f>SUM(C72:C74)</f>
        <v>2416666.666666667</v>
      </c>
      <c r="D71" s="37">
        <f>SUM(D72:D74)</f>
        <v>29000000</v>
      </c>
      <c r="E71" s="37">
        <f t="shared" ref="E71:O71" si="54">SUM(E72:E74)</f>
        <v>3167500</v>
      </c>
      <c r="F71" s="37">
        <f t="shared" si="54"/>
        <v>3167500</v>
      </c>
      <c r="G71" s="37">
        <f t="shared" si="54"/>
        <v>7995980</v>
      </c>
      <c r="H71" s="37">
        <f t="shared" si="54"/>
        <v>11163480</v>
      </c>
      <c r="I71" s="37">
        <f t="shared" si="54"/>
        <v>3394860</v>
      </c>
      <c r="J71" s="37">
        <f t="shared" si="54"/>
        <v>14558340</v>
      </c>
      <c r="K71" s="37">
        <f t="shared" si="54"/>
        <v>3216550</v>
      </c>
      <c r="L71" s="37">
        <f t="shared" si="54"/>
        <v>17774890</v>
      </c>
      <c r="M71" s="37">
        <f t="shared" si="54"/>
        <v>1077200</v>
      </c>
      <c r="N71" s="37">
        <f t="shared" si="54"/>
        <v>18852090</v>
      </c>
      <c r="O71" s="37">
        <f t="shared" si="54"/>
        <v>10147910</v>
      </c>
      <c r="P71" s="78">
        <f>L71/D71</f>
        <v>0.61292724137931032</v>
      </c>
    </row>
    <row r="72" spans="2:18" ht="15" customHeight="1" x14ac:dyDescent="0.3">
      <c r="B72" s="86" t="s">
        <v>61</v>
      </c>
      <c r="C72" s="16">
        <f>+D72/12</f>
        <v>1250000</v>
      </c>
      <c r="D72" s="35">
        <v>15000000</v>
      </c>
      <c r="E72" s="48">
        <v>490000</v>
      </c>
      <c r="F72" s="33">
        <f t="shared" si="46"/>
        <v>490000</v>
      </c>
      <c r="G72" s="35">
        <f>6175000-F72</f>
        <v>5685000</v>
      </c>
      <c r="H72" s="35">
        <f>+F72+G72</f>
        <v>6175000</v>
      </c>
      <c r="I72" s="35">
        <f>6889000-H72</f>
        <v>714000</v>
      </c>
      <c r="J72" s="35">
        <f>+H72+I72</f>
        <v>6889000</v>
      </c>
      <c r="K72" s="35">
        <f>8512310-J72</f>
        <v>1623310</v>
      </c>
      <c r="L72" s="35">
        <f>+J72+K72</f>
        <v>8512310</v>
      </c>
      <c r="M72" s="35">
        <f>9434810-L72</f>
        <v>922500</v>
      </c>
      <c r="N72" s="35">
        <f>+L72+M72</f>
        <v>9434810</v>
      </c>
      <c r="O72" s="35">
        <f>D72-N72</f>
        <v>5565190</v>
      </c>
      <c r="P72" s="76">
        <f>N72/D72</f>
        <v>0.62898733333333334</v>
      </c>
    </row>
    <row r="73" spans="2:18" ht="15" customHeight="1" x14ac:dyDescent="0.3">
      <c r="B73" s="79" t="s">
        <v>62</v>
      </c>
      <c r="C73" s="16">
        <f>D73/12</f>
        <v>583333.33333333337</v>
      </c>
      <c r="D73" s="35">
        <v>7000000</v>
      </c>
      <c r="E73" s="48"/>
      <c r="F73" s="33">
        <f t="shared" si="46"/>
        <v>0</v>
      </c>
      <c r="G73" s="35">
        <f>2310980-F73</f>
        <v>2310980</v>
      </c>
      <c r="H73" s="35">
        <f t="shared" ref="H73:H74" si="55">+F73+G73</f>
        <v>2310980</v>
      </c>
      <c r="I73" s="35">
        <f>1887340-H73</f>
        <v>-423640</v>
      </c>
      <c r="J73" s="35">
        <f>+H73+I73</f>
        <v>1887340</v>
      </c>
      <c r="K73" s="35">
        <f>3310583-J73-3</f>
        <v>1423240</v>
      </c>
      <c r="L73" s="35">
        <f t="shared" ref="L73:L74" si="56">+J73+K73</f>
        <v>3310580</v>
      </c>
      <c r="M73" s="35">
        <f>3465280-L73</f>
        <v>154700</v>
      </c>
      <c r="N73" s="35">
        <f t="shared" ref="N73:N74" si="57">+L73+M73</f>
        <v>3465280</v>
      </c>
      <c r="O73" s="35">
        <f t="shared" ref="O73:O74" si="58">D73-N73</f>
        <v>3534720</v>
      </c>
      <c r="P73" s="76">
        <f t="shared" ref="P73:P74" si="59">N73/D73</f>
        <v>0.49503999999999998</v>
      </c>
    </row>
    <row r="74" spans="2:18" ht="15" customHeight="1" thickBot="1" x14ac:dyDescent="0.35">
      <c r="B74" s="91" t="s">
        <v>63</v>
      </c>
      <c r="C74" s="60">
        <f>D74/12</f>
        <v>583333.33333333337</v>
      </c>
      <c r="D74" s="61">
        <v>7000000</v>
      </c>
      <c r="E74" s="61">
        <v>2677500</v>
      </c>
      <c r="F74" s="61">
        <f t="shared" si="46"/>
        <v>2677500</v>
      </c>
      <c r="G74" s="40">
        <v>0</v>
      </c>
      <c r="H74" s="35">
        <f t="shared" si="55"/>
        <v>2677500</v>
      </c>
      <c r="I74" s="40">
        <f>5782000-H74</f>
        <v>3104500</v>
      </c>
      <c r="J74" s="35">
        <f>+H74+I74</f>
        <v>5782000</v>
      </c>
      <c r="K74" s="35">
        <f>5952000-J74</f>
        <v>170000</v>
      </c>
      <c r="L74" s="35">
        <f t="shared" si="56"/>
        <v>5952000</v>
      </c>
      <c r="M74" s="35"/>
      <c r="N74" s="35">
        <f t="shared" si="57"/>
        <v>5952000</v>
      </c>
      <c r="O74" s="35">
        <f t="shared" si="58"/>
        <v>1048000</v>
      </c>
      <c r="P74" s="76">
        <f t="shared" si="59"/>
        <v>0.85028571428571431</v>
      </c>
    </row>
    <row r="75" spans="2:18" ht="15" customHeight="1" thickBot="1" x14ac:dyDescent="0.35">
      <c r="B75" s="19" t="s">
        <v>64</v>
      </c>
      <c r="C75" s="20">
        <f>SUM(C76:C77)</f>
        <v>250000</v>
      </c>
      <c r="D75" s="37">
        <f>SUM(D76:D77)</f>
        <v>3000000</v>
      </c>
      <c r="E75" s="37">
        <f t="shared" ref="E75:O75" si="60">SUM(E76:E77)</f>
        <v>0</v>
      </c>
      <c r="F75" s="37">
        <f t="shared" si="60"/>
        <v>0</v>
      </c>
      <c r="G75" s="37">
        <f t="shared" si="60"/>
        <v>956000</v>
      </c>
      <c r="H75" s="37">
        <f t="shared" si="60"/>
        <v>956000</v>
      </c>
      <c r="I75" s="37">
        <f t="shared" si="60"/>
        <v>0</v>
      </c>
      <c r="J75" s="37">
        <f t="shared" si="60"/>
        <v>956000</v>
      </c>
      <c r="K75" s="37">
        <f t="shared" si="60"/>
        <v>0</v>
      </c>
      <c r="L75" s="37">
        <f t="shared" si="60"/>
        <v>956000</v>
      </c>
      <c r="M75" s="37">
        <f t="shared" si="60"/>
        <v>0</v>
      </c>
      <c r="N75" s="37">
        <f t="shared" si="60"/>
        <v>956000</v>
      </c>
      <c r="O75" s="37">
        <f t="shared" si="60"/>
        <v>2044000</v>
      </c>
      <c r="P75" s="78">
        <f>J75/D75</f>
        <v>0.31866666666666665</v>
      </c>
    </row>
    <row r="76" spans="2:18" ht="15" customHeight="1" x14ac:dyDescent="0.3">
      <c r="B76" s="86" t="s">
        <v>65</v>
      </c>
      <c r="C76" s="16">
        <f>D76/12</f>
        <v>83333.333333333328</v>
      </c>
      <c r="D76" s="35">
        <v>1000000</v>
      </c>
      <c r="E76" s="35"/>
      <c r="F76" s="35">
        <f t="shared" si="46"/>
        <v>0</v>
      </c>
      <c r="G76" s="35">
        <v>956000</v>
      </c>
      <c r="H76" s="35">
        <f>+F76+G76</f>
        <v>956000</v>
      </c>
      <c r="I76" s="35"/>
      <c r="J76" s="35">
        <f>+H76+I76</f>
        <v>956000</v>
      </c>
      <c r="K76" s="35"/>
      <c r="L76" s="35">
        <f>+J76+K76</f>
        <v>956000</v>
      </c>
      <c r="M76" s="35">
        <v>0</v>
      </c>
      <c r="N76" s="35">
        <f>+L76+M76</f>
        <v>956000</v>
      </c>
      <c r="O76" s="35">
        <f>D76-N76</f>
        <v>44000</v>
      </c>
      <c r="P76" s="76">
        <f>J76/D76</f>
        <v>0.95599999999999996</v>
      </c>
    </row>
    <row r="77" spans="2:18" ht="15" customHeight="1" thickBot="1" x14ac:dyDescent="0.35">
      <c r="B77" s="91" t="s">
        <v>66</v>
      </c>
      <c r="C77" s="16">
        <f>D77/12</f>
        <v>166666.66666666666</v>
      </c>
      <c r="D77" s="35">
        <v>2000000</v>
      </c>
      <c r="E77" s="35"/>
      <c r="F77" s="33">
        <f t="shared" si="46"/>
        <v>0</v>
      </c>
      <c r="G77" s="35"/>
      <c r="H77" s="35">
        <f>+F77+G77</f>
        <v>0</v>
      </c>
      <c r="I77" s="35"/>
      <c r="J77" s="35">
        <f>+H77+I77</f>
        <v>0</v>
      </c>
      <c r="K77" s="35"/>
      <c r="L77" s="35">
        <f>+J77+K77</f>
        <v>0</v>
      </c>
      <c r="M77" s="35">
        <v>0</v>
      </c>
      <c r="N77" s="35">
        <f>+L77+M77</f>
        <v>0</v>
      </c>
      <c r="O77" s="35">
        <f>D77-N77</f>
        <v>2000000</v>
      </c>
      <c r="P77" s="76">
        <f>J77/D77</f>
        <v>0</v>
      </c>
    </row>
    <row r="78" spans="2:18" ht="15" customHeight="1" thickBot="1" x14ac:dyDescent="0.35">
      <c r="B78" s="21" t="s">
        <v>67</v>
      </c>
      <c r="C78" s="22">
        <f>+C79</f>
        <v>250000</v>
      </c>
      <c r="D78" s="38">
        <f>+D79</f>
        <v>3000000</v>
      </c>
      <c r="E78" s="38">
        <f t="shared" ref="E78:O78" si="61">+E79</f>
        <v>0</v>
      </c>
      <c r="F78" s="38">
        <f t="shared" si="61"/>
        <v>0</v>
      </c>
      <c r="G78" s="38">
        <f t="shared" si="61"/>
        <v>0</v>
      </c>
      <c r="H78" s="38">
        <f t="shared" si="61"/>
        <v>0</v>
      </c>
      <c r="I78" s="38">
        <f t="shared" si="61"/>
        <v>0</v>
      </c>
      <c r="J78" s="38">
        <f t="shared" si="61"/>
        <v>0</v>
      </c>
      <c r="K78" s="38">
        <f t="shared" si="61"/>
        <v>0</v>
      </c>
      <c r="L78" s="38">
        <f t="shared" si="61"/>
        <v>0</v>
      </c>
      <c r="M78" s="38">
        <f t="shared" si="61"/>
        <v>0</v>
      </c>
      <c r="N78" s="38">
        <f t="shared" si="61"/>
        <v>0</v>
      </c>
      <c r="O78" s="38">
        <f t="shared" si="61"/>
        <v>3000000</v>
      </c>
      <c r="P78" s="92">
        <f>F78/D78</f>
        <v>0</v>
      </c>
    </row>
    <row r="79" spans="2:18" ht="15" customHeight="1" thickBot="1" x14ac:dyDescent="0.35">
      <c r="B79" s="93" t="s">
        <v>68</v>
      </c>
      <c r="C79" s="23">
        <v>250000</v>
      </c>
      <c r="D79" s="39">
        <f>C79*12</f>
        <v>3000000</v>
      </c>
      <c r="E79" s="39"/>
      <c r="F79" s="33">
        <f t="shared" si="46"/>
        <v>0</v>
      </c>
      <c r="G79" s="39"/>
      <c r="H79" s="39">
        <f>+F79+G79</f>
        <v>0</v>
      </c>
      <c r="I79" s="39"/>
      <c r="J79" s="39">
        <f>+H79+I79</f>
        <v>0</v>
      </c>
      <c r="K79" s="39"/>
      <c r="L79" s="39"/>
      <c r="M79" s="39"/>
      <c r="N79" s="39"/>
      <c r="O79" s="39">
        <f>+D79-F79</f>
        <v>3000000</v>
      </c>
      <c r="P79" s="76">
        <f>F79/D79</f>
        <v>0</v>
      </c>
    </row>
    <row r="80" spans="2:18" ht="15" customHeight="1" thickBot="1" x14ac:dyDescent="0.35">
      <c r="B80" s="21" t="s">
        <v>69</v>
      </c>
      <c r="C80" s="22">
        <f>SUM(C81:C82)</f>
        <v>0</v>
      </c>
      <c r="D80" s="38">
        <f>SUM(D81:D82)</f>
        <v>0</v>
      </c>
      <c r="E80" s="38">
        <f t="shared" ref="E80:O80" si="62">SUM(E81:E82)</f>
        <v>2806212</v>
      </c>
      <c r="F80" s="38">
        <f t="shared" si="62"/>
        <v>2806212</v>
      </c>
      <c r="G80" s="38">
        <f t="shared" si="62"/>
        <v>3274212</v>
      </c>
      <c r="H80" s="38">
        <f t="shared" si="62"/>
        <v>6080424</v>
      </c>
      <c r="I80" s="38">
        <f t="shared" si="62"/>
        <v>3274212</v>
      </c>
      <c r="J80" s="38">
        <f t="shared" si="62"/>
        <v>9354636</v>
      </c>
      <c r="K80" s="38">
        <f t="shared" si="62"/>
        <v>3274212</v>
      </c>
      <c r="L80" s="38">
        <f t="shared" si="62"/>
        <v>12628848</v>
      </c>
      <c r="M80" s="38">
        <f t="shared" si="62"/>
        <v>3274212</v>
      </c>
      <c r="N80" s="38">
        <f t="shared" si="62"/>
        <v>15903060</v>
      </c>
      <c r="O80" s="38">
        <f t="shared" si="62"/>
        <v>0</v>
      </c>
      <c r="P80" s="92"/>
    </row>
    <row r="81" spans="2:16" ht="15" customHeight="1" x14ac:dyDescent="0.3">
      <c r="B81" s="86" t="s">
        <v>62</v>
      </c>
      <c r="C81" s="4">
        <f>D81/12</f>
        <v>0</v>
      </c>
      <c r="D81" s="33"/>
      <c r="E81" s="48">
        <v>1582239</v>
      </c>
      <c r="F81" s="33">
        <f t="shared" si="46"/>
        <v>1582239</v>
      </c>
      <c r="G81" s="33">
        <f>3632478-F81</f>
        <v>2050239</v>
      </c>
      <c r="H81" s="33">
        <f>+F81+G81</f>
        <v>3632478</v>
      </c>
      <c r="I81" s="33">
        <f>5682717-H81</f>
        <v>2050239</v>
      </c>
      <c r="J81" s="33">
        <f>+H81+I81</f>
        <v>5682717</v>
      </c>
      <c r="K81" s="33">
        <f>7732956-J81</f>
        <v>2050239</v>
      </c>
      <c r="L81" s="33">
        <f>+J81+K81</f>
        <v>7732956</v>
      </c>
      <c r="M81" s="33">
        <f>9783195-L81</f>
        <v>2050239</v>
      </c>
      <c r="N81" s="33">
        <f>+L81+M81</f>
        <v>9783195</v>
      </c>
      <c r="O81" s="33"/>
      <c r="P81" s="76"/>
    </row>
    <row r="82" spans="2:16" ht="15" customHeight="1" thickBot="1" x14ac:dyDescent="0.35">
      <c r="B82" s="79" t="s">
        <v>70</v>
      </c>
      <c r="C82" s="4">
        <f>D82/12</f>
        <v>0</v>
      </c>
      <c r="D82" s="33"/>
      <c r="E82" s="48">
        <v>1223973</v>
      </c>
      <c r="F82" s="33">
        <f t="shared" si="46"/>
        <v>1223973</v>
      </c>
      <c r="G82" s="33">
        <f>2447946-F82</f>
        <v>1223973</v>
      </c>
      <c r="H82" s="33">
        <f>+F82+G82</f>
        <v>2447946</v>
      </c>
      <c r="I82" s="33">
        <f>3671919-H82</f>
        <v>1223973</v>
      </c>
      <c r="J82" s="33">
        <f>+H82+I82</f>
        <v>3671919</v>
      </c>
      <c r="K82" s="33">
        <f>4895892-J82</f>
        <v>1223973</v>
      </c>
      <c r="L82" s="33">
        <f>+J82+K82</f>
        <v>4895892</v>
      </c>
      <c r="M82" s="33">
        <f>6119865-L82</f>
        <v>1223973</v>
      </c>
      <c r="N82" s="33">
        <f>+L82+M82</f>
        <v>6119865</v>
      </c>
      <c r="O82" s="33"/>
      <c r="P82" s="76"/>
    </row>
    <row r="83" spans="2:16" ht="15" customHeight="1" x14ac:dyDescent="0.3">
      <c r="B83" s="116" t="s">
        <v>71</v>
      </c>
      <c r="C83" s="117">
        <f>+C84</f>
        <v>0</v>
      </c>
      <c r="D83" s="118">
        <f>+D84</f>
        <v>0</v>
      </c>
      <c r="E83" s="118">
        <f t="shared" ref="E83:O83" si="63">+E84</f>
        <v>666666</v>
      </c>
      <c r="F83" s="118">
        <f t="shared" si="63"/>
        <v>666666</v>
      </c>
      <c r="G83" s="118">
        <f t="shared" si="63"/>
        <v>666666</v>
      </c>
      <c r="H83" s="118">
        <f t="shared" si="63"/>
        <v>1333332</v>
      </c>
      <c r="I83" s="118">
        <f t="shared" si="63"/>
        <v>666666</v>
      </c>
      <c r="J83" s="118">
        <f t="shared" si="63"/>
        <v>1999998</v>
      </c>
      <c r="K83" s="118">
        <f t="shared" si="63"/>
        <v>666666</v>
      </c>
      <c r="L83" s="118">
        <f t="shared" si="63"/>
        <v>2666664</v>
      </c>
      <c r="M83" s="118">
        <f t="shared" si="63"/>
        <v>600000</v>
      </c>
      <c r="N83" s="118">
        <f t="shared" si="63"/>
        <v>3266664</v>
      </c>
      <c r="O83" s="118">
        <f t="shared" si="63"/>
        <v>0</v>
      </c>
      <c r="P83" s="119"/>
    </row>
    <row r="84" spans="2:16" ht="15" customHeight="1" x14ac:dyDescent="0.3">
      <c r="B84" s="12" t="s">
        <v>72</v>
      </c>
      <c r="C84" s="4">
        <f>D84/12</f>
        <v>0</v>
      </c>
      <c r="D84" s="4"/>
      <c r="E84" s="4">
        <v>666666</v>
      </c>
      <c r="F84" s="4">
        <f t="shared" si="46"/>
        <v>666666</v>
      </c>
      <c r="G84" s="4">
        <f>1333332-F84</f>
        <v>666666</v>
      </c>
      <c r="H84" s="4">
        <f>+F84+G84</f>
        <v>1333332</v>
      </c>
      <c r="I84" s="4">
        <v>666666</v>
      </c>
      <c r="J84" s="4">
        <f>+H84+I84</f>
        <v>1999998</v>
      </c>
      <c r="K84" s="4">
        <f>2666664-J84</f>
        <v>666666</v>
      </c>
      <c r="L84" s="4">
        <f>+J84+K84</f>
        <v>2666664</v>
      </c>
      <c r="M84" s="4">
        <f>3266664-L84</f>
        <v>600000</v>
      </c>
      <c r="N84" s="4">
        <f>+L84+M84</f>
        <v>3266664</v>
      </c>
      <c r="O84" s="4"/>
      <c r="P84" s="114"/>
    </row>
    <row r="85" spans="2:16" ht="15" customHeight="1" x14ac:dyDescent="0.3">
      <c r="B85" s="115"/>
      <c r="C85" s="39"/>
      <c r="D85" s="39"/>
      <c r="E85" s="39"/>
      <c r="F85" s="39"/>
      <c r="G85" s="39"/>
      <c r="H85" s="39"/>
      <c r="I85" s="39"/>
      <c r="J85" s="39"/>
      <c r="K85" s="39"/>
      <c r="L85" s="39"/>
      <c r="M85" s="39"/>
      <c r="N85" s="39"/>
      <c r="O85" s="39"/>
      <c r="P85" s="44"/>
    </row>
    <row r="86" spans="2:16" ht="15" customHeight="1" x14ac:dyDescent="0.3">
      <c r="B86" s="115"/>
      <c r="C86" s="39"/>
      <c r="D86" s="39"/>
      <c r="E86" s="39"/>
      <c r="F86" s="39"/>
      <c r="G86" s="39"/>
      <c r="H86" s="39"/>
      <c r="I86" s="39"/>
      <c r="J86" s="39"/>
      <c r="K86" s="39"/>
      <c r="L86" s="39"/>
      <c r="M86" s="39"/>
      <c r="N86" s="39"/>
      <c r="O86" s="39"/>
      <c r="P86" s="44"/>
    </row>
    <row r="87" spans="2:16" ht="15" customHeight="1" x14ac:dyDescent="0.3">
      <c r="B87" s="115"/>
      <c r="C87" s="39"/>
      <c r="D87" s="39"/>
      <c r="E87" s="39"/>
      <c r="F87" s="39"/>
      <c r="G87" s="39"/>
      <c r="H87" s="39"/>
      <c r="I87" s="39"/>
      <c r="J87" s="39"/>
      <c r="K87" s="39"/>
      <c r="L87" s="39"/>
      <c r="M87" s="39"/>
      <c r="N87" s="39"/>
      <c r="O87" s="39"/>
      <c r="P87" s="44"/>
    </row>
    <row r="88" spans="2:16" ht="15" customHeight="1" x14ac:dyDescent="0.3">
      <c r="B88" s="115"/>
      <c r="C88" s="39"/>
      <c r="D88" s="39"/>
      <c r="E88" s="39"/>
      <c r="F88" s="39"/>
      <c r="G88" s="39"/>
      <c r="H88" s="39"/>
      <c r="I88" s="39"/>
      <c r="J88" s="39"/>
      <c r="K88" s="39"/>
      <c r="L88" s="39"/>
      <c r="M88" s="39"/>
      <c r="N88" s="39"/>
      <c r="O88" s="39"/>
      <c r="P88" s="44"/>
    </row>
    <row r="89" spans="2:16" ht="15" customHeight="1" x14ac:dyDescent="0.3">
      <c r="B89" s="115"/>
      <c r="C89" s="39"/>
      <c r="D89" s="39"/>
      <c r="E89" s="39"/>
      <c r="F89" s="39"/>
      <c r="G89" s="39"/>
      <c r="H89" s="39"/>
      <c r="I89" s="39"/>
      <c r="J89" s="39"/>
      <c r="K89" s="39"/>
      <c r="L89" s="39"/>
      <c r="M89" s="39"/>
      <c r="N89" s="39"/>
      <c r="O89" s="39"/>
      <c r="P89" s="44"/>
    </row>
    <row r="90" spans="2:16" ht="15" customHeight="1" x14ac:dyDescent="0.3">
      <c r="B90" s="115"/>
      <c r="C90" s="39"/>
      <c r="D90" s="39"/>
      <c r="E90" s="39"/>
      <c r="F90" s="39"/>
      <c r="G90" s="39"/>
      <c r="H90" s="39"/>
      <c r="I90" s="39"/>
      <c r="J90" s="39"/>
      <c r="K90" s="39"/>
      <c r="L90" s="39"/>
      <c r="M90" s="39"/>
      <c r="N90" s="39"/>
      <c r="O90" s="39"/>
      <c r="P90" s="44"/>
    </row>
    <row r="91" spans="2:16" ht="15" customHeight="1" thickBot="1" x14ac:dyDescent="0.35">
      <c r="B91" s="110" t="s">
        <v>101</v>
      </c>
      <c r="C91" s="111" t="s">
        <v>2</v>
      </c>
      <c r="D91" s="111" t="s">
        <v>3</v>
      </c>
      <c r="E91" s="112" t="s">
        <v>4</v>
      </c>
      <c r="F91" s="112" t="s">
        <v>99</v>
      </c>
      <c r="G91" s="112" t="s">
        <v>93</v>
      </c>
      <c r="H91" s="112" t="s">
        <v>98</v>
      </c>
      <c r="I91" s="112" t="s">
        <v>94</v>
      </c>
      <c r="J91" s="112" t="s">
        <v>97</v>
      </c>
      <c r="K91" s="112" t="s">
        <v>95</v>
      </c>
      <c r="L91" s="112" t="s">
        <v>96</v>
      </c>
      <c r="M91" s="112" t="s">
        <v>109</v>
      </c>
      <c r="N91" s="112" t="s">
        <v>110</v>
      </c>
      <c r="O91" s="112" t="s">
        <v>5</v>
      </c>
      <c r="P91" s="113" t="s">
        <v>6</v>
      </c>
    </row>
    <row r="92" spans="2:16" ht="15" customHeight="1" thickBot="1" x14ac:dyDescent="0.35">
      <c r="B92" s="21" t="s">
        <v>73</v>
      </c>
      <c r="C92" s="106">
        <f>D92/12</f>
        <v>2316666.6666666665</v>
      </c>
      <c r="D92" s="106">
        <v>27800000</v>
      </c>
      <c r="E92" s="106">
        <v>256000</v>
      </c>
      <c r="F92" s="106">
        <f>+E92</f>
        <v>256000</v>
      </c>
      <c r="G92" s="106">
        <f>1168000-F92</f>
        <v>912000</v>
      </c>
      <c r="H92" s="106">
        <f>+F92+G92</f>
        <v>1168000</v>
      </c>
      <c r="I92" s="106">
        <f>2646284-H92</f>
        <v>1478284</v>
      </c>
      <c r="J92" s="106">
        <f>+H92+I92</f>
        <v>2646284</v>
      </c>
      <c r="K92" s="106">
        <f>3602884-J92</f>
        <v>956600</v>
      </c>
      <c r="L92" s="106">
        <f>+J92+K92</f>
        <v>3602884</v>
      </c>
      <c r="M92" s="106"/>
      <c r="N92" s="106">
        <f>+L92+M92</f>
        <v>3602884</v>
      </c>
      <c r="O92" s="106">
        <f>+D92-N92</f>
        <v>24197116</v>
      </c>
      <c r="P92" s="78">
        <f>N92/D92</f>
        <v>0.12960014388489208</v>
      </c>
    </row>
    <row r="93" spans="2:16" ht="15" customHeight="1" thickBot="1" x14ac:dyDescent="0.35">
      <c r="B93" s="21" t="s">
        <v>74</v>
      </c>
      <c r="C93" s="106">
        <f>SUM(C94:C99)</f>
        <v>8519275.166666666</v>
      </c>
      <c r="D93" s="106">
        <f>SUM(D94:D99)</f>
        <v>102231302</v>
      </c>
      <c r="E93" s="106">
        <f t="shared" ref="E93:O93" si="64">SUM(E94:E99)</f>
        <v>760000</v>
      </c>
      <c r="F93" s="106">
        <f t="shared" si="64"/>
        <v>760000</v>
      </c>
      <c r="G93" s="106">
        <f t="shared" si="64"/>
        <v>3575423</v>
      </c>
      <c r="H93" s="106">
        <f t="shared" si="64"/>
        <v>4335423</v>
      </c>
      <c r="I93" s="106">
        <f t="shared" si="64"/>
        <v>1107996</v>
      </c>
      <c r="J93" s="106">
        <f t="shared" si="64"/>
        <v>5443419</v>
      </c>
      <c r="K93" s="106">
        <f t="shared" si="64"/>
        <v>3231121</v>
      </c>
      <c r="L93" s="106">
        <f t="shared" si="64"/>
        <v>8674540</v>
      </c>
      <c r="M93" s="106">
        <f t="shared" si="64"/>
        <v>7376400</v>
      </c>
      <c r="N93" s="106">
        <f t="shared" si="64"/>
        <v>16050940</v>
      </c>
      <c r="O93" s="106">
        <f t="shared" si="64"/>
        <v>86180362</v>
      </c>
      <c r="P93" s="92">
        <f>F93/D93</f>
        <v>7.434122280864622E-3</v>
      </c>
    </row>
    <row r="94" spans="2:16" ht="15" customHeight="1" x14ac:dyDescent="0.3">
      <c r="B94" s="79" t="s">
        <v>75</v>
      </c>
      <c r="C94" s="16">
        <f>D94/12</f>
        <v>75000</v>
      </c>
      <c r="D94" s="35">
        <v>900000</v>
      </c>
      <c r="E94" s="35"/>
      <c r="F94" s="35">
        <f t="shared" ref="F94:F99" si="65">E94</f>
        <v>0</v>
      </c>
      <c r="G94" s="35"/>
      <c r="H94" s="35">
        <f>+F94+G94</f>
        <v>0</v>
      </c>
      <c r="I94" s="35"/>
      <c r="J94" s="35">
        <f t="shared" ref="J94:J99" si="66">+H94+I94</f>
        <v>0</v>
      </c>
      <c r="K94" s="35"/>
      <c r="L94" s="35">
        <f>+J94+K94</f>
        <v>0</v>
      </c>
      <c r="M94" s="35"/>
      <c r="N94" s="35">
        <f>+L94+M94</f>
        <v>0</v>
      </c>
      <c r="O94" s="35">
        <f>+D94-N94</f>
        <v>900000</v>
      </c>
      <c r="P94" s="76">
        <f>N94/D94</f>
        <v>0</v>
      </c>
    </row>
    <row r="95" spans="2:16" ht="15" customHeight="1" x14ac:dyDescent="0.3">
      <c r="B95" s="79" t="s">
        <v>76</v>
      </c>
      <c r="C95" s="4">
        <f>D95/12</f>
        <v>1125000</v>
      </c>
      <c r="D95" s="33">
        <v>13500000</v>
      </c>
      <c r="E95" s="33">
        <v>114000</v>
      </c>
      <c r="F95" s="33">
        <f t="shared" si="65"/>
        <v>114000</v>
      </c>
      <c r="G95" s="33">
        <f>2046539-F95</f>
        <v>1932539</v>
      </c>
      <c r="H95" s="33">
        <f t="shared" ref="H95:H99" si="67">+F95+G95</f>
        <v>2046539</v>
      </c>
      <c r="I95" s="33">
        <f>2221539-H95</f>
        <v>175000</v>
      </c>
      <c r="J95" s="33">
        <f t="shared" si="66"/>
        <v>2221539</v>
      </c>
      <c r="K95" s="33">
        <f>4327660-J95</f>
        <v>2106121</v>
      </c>
      <c r="L95" s="35">
        <f t="shared" ref="L95:L99" si="68">+J95+K95</f>
        <v>4327660</v>
      </c>
      <c r="M95" s="35">
        <f>4502660-L95</f>
        <v>175000</v>
      </c>
      <c r="N95" s="35">
        <f t="shared" ref="N95:N99" si="69">+L95+M95</f>
        <v>4502660</v>
      </c>
      <c r="O95" s="35">
        <f t="shared" ref="O95:O99" si="70">+D95-N95</f>
        <v>8997340</v>
      </c>
      <c r="P95" s="76">
        <f t="shared" ref="P95:P99" si="71">N95/D95</f>
        <v>0.33353037037037037</v>
      </c>
    </row>
    <row r="96" spans="2:16" ht="15" customHeight="1" x14ac:dyDescent="0.3">
      <c r="B96" s="79" t="s">
        <v>77</v>
      </c>
      <c r="C96" s="4">
        <f>D96/12</f>
        <v>5282608.5</v>
      </c>
      <c r="D96" s="33">
        <v>63391302</v>
      </c>
      <c r="E96" s="33"/>
      <c r="F96" s="33">
        <f t="shared" si="65"/>
        <v>0</v>
      </c>
      <c r="G96" s="33">
        <v>0</v>
      </c>
      <c r="H96" s="33">
        <f t="shared" si="67"/>
        <v>0</v>
      </c>
      <c r="I96" s="33"/>
      <c r="J96" s="33">
        <f t="shared" si="66"/>
        <v>0</v>
      </c>
      <c r="K96" s="33"/>
      <c r="L96" s="35">
        <f t="shared" si="68"/>
        <v>0</v>
      </c>
      <c r="M96" s="35"/>
      <c r="N96" s="35">
        <f t="shared" si="69"/>
        <v>0</v>
      </c>
      <c r="O96" s="35">
        <f t="shared" si="70"/>
        <v>63391302</v>
      </c>
      <c r="P96" s="76">
        <f t="shared" si="71"/>
        <v>0</v>
      </c>
    </row>
    <row r="97" spans="2:18" ht="15" customHeight="1" x14ac:dyDescent="0.3">
      <c r="B97" s="79" t="s">
        <v>78</v>
      </c>
      <c r="C97" s="4">
        <f>+D97/12</f>
        <v>1250000</v>
      </c>
      <c r="D97" s="4">
        <v>15000000</v>
      </c>
      <c r="E97" s="4"/>
      <c r="F97" s="4">
        <f t="shared" si="65"/>
        <v>0</v>
      </c>
      <c r="G97" s="4">
        <v>1522884</v>
      </c>
      <c r="H97" s="33">
        <f t="shared" si="67"/>
        <v>1522884</v>
      </c>
      <c r="I97" s="33">
        <f>2455880-H97</f>
        <v>932996</v>
      </c>
      <c r="J97" s="33">
        <f t="shared" si="66"/>
        <v>2455880</v>
      </c>
      <c r="K97" s="33">
        <f>3580880-J97</f>
        <v>1125000</v>
      </c>
      <c r="L97" s="35">
        <f t="shared" si="68"/>
        <v>3580880</v>
      </c>
      <c r="M97" s="35">
        <f>5532280-L97</f>
        <v>1951400</v>
      </c>
      <c r="N97" s="35">
        <f t="shared" si="69"/>
        <v>5532280</v>
      </c>
      <c r="O97" s="35">
        <f t="shared" si="70"/>
        <v>9467720</v>
      </c>
      <c r="P97" s="76">
        <f t="shared" si="71"/>
        <v>0.36881866666666668</v>
      </c>
    </row>
    <row r="98" spans="2:18" ht="15" customHeight="1" x14ac:dyDescent="0.3">
      <c r="B98" s="79" t="s">
        <v>79</v>
      </c>
      <c r="C98" s="4">
        <f>+D98/12</f>
        <v>370000</v>
      </c>
      <c r="D98" s="4">
        <v>4440000</v>
      </c>
      <c r="E98" s="4">
        <v>646000</v>
      </c>
      <c r="F98" s="4">
        <f t="shared" si="65"/>
        <v>646000</v>
      </c>
      <c r="G98" s="4">
        <v>0</v>
      </c>
      <c r="H98" s="33">
        <f t="shared" si="67"/>
        <v>646000</v>
      </c>
      <c r="I98" s="33"/>
      <c r="J98" s="33">
        <f t="shared" si="66"/>
        <v>646000</v>
      </c>
      <c r="K98" s="33"/>
      <c r="L98" s="35">
        <f t="shared" si="68"/>
        <v>646000</v>
      </c>
      <c r="M98" s="35"/>
      <c r="N98" s="35">
        <f t="shared" si="69"/>
        <v>646000</v>
      </c>
      <c r="O98" s="35">
        <f t="shared" si="70"/>
        <v>3794000</v>
      </c>
      <c r="P98" s="76">
        <f t="shared" si="71"/>
        <v>0.14549549549549551</v>
      </c>
    </row>
    <row r="99" spans="2:18" ht="15" customHeight="1" x14ac:dyDescent="0.3">
      <c r="B99" s="94" t="s">
        <v>80</v>
      </c>
      <c r="C99" s="4">
        <f>D99/12</f>
        <v>416666.66666666669</v>
      </c>
      <c r="D99" s="4">
        <v>5000000</v>
      </c>
      <c r="E99" s="4"/>
      <c r="F99" s="4">
        <f t="shared" si="65"/>
        <v>0</v>
      </c>
      <c r="G99" s="4">
        <v>120000</v>
      </c>
      <c r="H99" s="33">
        <f t="shared" si="67"/>
        <v>120000</v>
      </c>
      <c r="I99" s="33"/>
      <c r="J99" s="33">
        <f t="shared" si="66"/>
        <v>120000</v>
      </c>
      <c r="K99" s="33"/>
      <c r="L99" s="35">
        <f t="shared" si="68"/>
        <v>120000</v>
      </c>
      <c r="M99" s="35">
        <f>5370000-L99</f>
        <v>5250000</v>
      </c>
      <c r="N99" s="35">
        <f t="shared" si="69"/>
        <v>5370000</v>
      </c>
      <c r="O99" s="35">
        <f t="shared" si="70"/>
        <v>-370000</v>
      </c>
      <c r="P99" s="76">
        <f t="shared" si="71"/>
        <v>1.0740000000000001</v>
      </c>
    </row>
    <row r="100" spans="2:18" ht="15" customHeight="1" thickBot="1" x14ac:dyDescent="0.35">
      <c r="B100" s="95"/>
      <c r="C100" s="39"/>
      <c r="D100" s="39"/>
      <c r="E100" s="39"/>
      <c r="F100" s="39"/>
      <c r="G100" s="39"/>
      <c r="H100" s="39"/>
      <c r="I100" s="39"/>
      <c r="J100" s="39"/>
      <c r="K100" s="39"/>
      <c r="L100" s="39"/>
      <c r="M100" s="39"/>
      <c r="N100" s="39"/>
      <c r="O100" s="39"/>
      <c r="P100" s="89"/>
    </row>
    <row r="101" spans="2:18" ht="15" customHeight="1" thickBot="1" x14ac:dyDescent="0.35">
      <c r="B101" s="21" t="s">
        <v>81</v>
      </c>
      <c r="C101" s="22">
        <f>SUM(C102:C105)</f>
        <v>300166.66666666663</v>
      </c>
      <c r="D101" s="38">
        <f>SUM(D102:D105)</f>
        <v>3602000</v>
      </c>
      <c r="E101" s="38">
        <f t="shared" ref="E101:O101" si="72">SUM(E102:E105)</f>
        <v>2142</v>
      </c>
      <c r="F101" s="38">
        <f t="shared" si="72"/>
        <v>2142</v>
      </c>
      <c r="G101" s="38">
        <f t="shared" si="72"/>
        <v>0</v>
      </c>
      <c r="H101" s="38">
        <f t="shared" si="72"/>
        <v>2142</v>
      </c>
      <c r="I101" s="38">
        <f>SUM(I102:I105)</f>
        <v>3820</v>
      </c>
      <c r="J101" s="38">
        <f>SUM(J102:J105)</f>
        <v>5962</v>
      </c>
      <c r="K101" s="38">
        <f t="shared" ref="K101:N101" si="73">SUM(K102:K105)</f>
        <v>1428</v>
      </c>
      <c r="L101" s="38">
        <f t="shared" si="73"/>
        <v>7263</v>
      </c>
      <c r="M101" s="38">
        <f t="shared" si="73"/>
        <v>3202</v>
      </c>
      <c r="N101" s="38">
        <f t="shared" si="73"/>
        <v>10465</v>
      </c>
      <c r="O101" s="38">
        <f t="shared" si="72"/>
        <v>3591535</v>
      </c>
      <c r="P101" s="78">
        <f>L101/D101</f>
        <v>2.0163797890061078E-3</v>
      </c>
    </row>
    <row r="102" spans="2:18" ht="15" customHeight="1" x14ac:dyDescent="0.3">
      <c r="B102" s="79" t="s">
        <v>82</v>
      </c>
      <c r="C102" s="4">
        <v>8500</v>
      </c>
      <c r="D102" s="33">
        <f>C102*12</f>
        <v>102000</v>
      </c>
      <c r="E102" s="33">
        <v>2142</v>
      </c>
      <c r="F102" s="33">
        <f t="shared" ref="F102:F105" si="74">E102</f>
        <v>2142</v>
      </c>
      <c r="G102" s="33">
        <v>0</v>
      </c>
      <c r="H102" s="33">
        <f>+F102+G102</f>
        <v>2142</v>
      </c>
      <c r="I102" s="33">
        <f>5355-H102</f>
        <v>3213</v>
      </c>
      <c r="J102" s="33">
        <f>+H102+I102</f>
        <v>5355</v>
      </c>
      <c r="K102" s="33">
        <f>6783-J102</f>
        <v>1428</v>
      </c>
      <c r="L102" s="33">
        <f>+J102+K102</f>
        <v>6783</v>
      </c>
      <c r="M102" s="33">
        <f>8568-L102</f>
        <v>1785</v>
      </c>
      <c r="N102" s="33">
        <f>+L102+M102</f>
        <v>8568</v>
      </c>
      <c r="O102" s="33">
        <f>D102-N102</f>
        <v>93432</v>
      </c>
      <c r="P102" s="76">
        <f>N102/D102</f>
        <v>8.4000000000000005E-2</v>
      </c>
    </row>
    <row r="103" spans="2:18" ht="15" customHeight="1" x14ac:dyDescent="0.3">
      <c r="B103" s="79" t="s">
        <v>83</v>
      </c>
      <c r="C103" s="4">
        <f>+D103/12</f>
        <v>166666.66666666666</v>
      </c>
      <c r="D103" s="33">
        <v>2000000</v>
      </c>
      <c r="E103" s="33"/>
      <c r="F103" s="33">
        <f t="shared" si="74"/>
        <v>0</v>
      </c>
      <c r="G103" s="33">
        <v>0</v>
      </c>
      <c r="H103" s="33">
        <f t="shared" ref="H103:H105" si="75">+F103+G103</f>
        <v>0</v>
      </c>
      <c r="I103" s="33"/>
      <c r="J103" s="33">
        <f>+H103+I103</f>
        <v>0</v>
      </c>
      <c r="K103" s="33"/>
      <c r="L103" s="33">
        <f t="shared" ref="L103:L104" si="76">+J103+K103</f>
        <v>0</v>
      </c>
      <c r="M103" s="33"/>
      <c r="N103" s="33">
        <f t="shared" ref="N103:N105" si="77">+L103+M103</f>
        <v>0</v>
      </c>
      <c r="O103" s="33">
        <f t="shared" ref="O103:O105" si="78">D103-N103</f>
        <v>2000000</v>
      </c>
      <c r="P103" s="76">
        <f t="shared" ref="P103" si="79">N103/D103</f>
        <v>0</v>
      </c>
    </row>
    <row r="104" spans="2:18" ht="15" customHeight="1" x14ac:dyDescent="0.3">
      <c r="B104" s="79" t="s">
        <v>84</v>
      </c>
      <c r="C104" s="4">
        <f>D104/12</f>
        <v>0</v>
      </c>
      <c r="D104" s="33"/>
      <c r="E104" s="33"/>
      <c r="F104" s="33">
        <f t="shared" si="74"/>
        <v>0</v>
      </c>
      <c r="G104" s="33">
        <v>0</v>
      </c>
      <c r="H104" s="33">
        <f t="shared" si="75"/>
        <v>0</v>
      </c>
      <c r="I104" s="33"/>
      <c r="J104" s="33">
        <f>+H104+I104</f>
        <v>0</v>
      </c>
      <c r="K104" s="33"/>
      <c r="L104" s="33">
        <f t="shared" si="76"/>
        <v>0</v>
      </c>
      <c r="M104" s="33"/>
      <c r="N104" s="33">
        <f t="shared" si="77"/>
        <v>0</v>
      </c>
      <c r="O104" s="33">
        <f t="shared" si="78"/>
        <v>0</v>
      </c>
      <c r="P104" s="76"/>
      <c r="R104" s="1"/>
    </row>
    <row r="105" spans="2:18" ht="15" customHeight="1" thickBot="1" x14ac:dyDescent="0.35">
      <c r="B105" s="79" t="s">
        <v>85</v>
      </c>
      <c r="C105" s="4">
        <f>D105/12</f>
        <v>125000</v>
      </c>
      <c r="D105" s="33">
        <v>1500000</v>
      </c>
      <c r="E105" s="33"/>
      <c r="F105" s="33">
        <f t="shared" si="74"/>
        <v>0</v>
      </c>
      <c r="G105" s="33">
        <v>0</v>
      </c>
      <c r="H105" s="33">
        <f t="shared" si="75"/>
        <v>0</v>
      </c>
      <c r="I105" s="33">
        <v>607</v>
      </c>
      <c r="J105" s="33">
        <f>+H105+I105</f>
        <v>607</v>
      </c>
      <c r="K105" s="33"/>
      <c r="L105" s="33">
        <f>480-K105</f>
        <v>480</v>
      </c>
      <c r="M105" s="33">
        <f>1897-L105</f>
        <v>1417</v>
      </c>
      <c r="N105" s="33">
        <f t="shared" si="77"/>
        <v>1897</v>
      </c>
      <c r="O105" s="33">
        <f t="shared" si="78"/>
        <v>1498103</v>
      </c>
      <c r="P105" s="76">
        <f>N105/D105</f>
        <v>1.2646666666666668E-3</v>
      </c>
    </row>
    <row r="106" spans="2:18" ht="15" customHeight="1" thickBot="1" x14ac:dyDescent="0.35">
      <c r="B106" s="21" t="s">
        <v>86</v>
      </c>
      <c r="C106" s="22">
        <f t="shared" ref="C106:O106" si="80">+C101+C93+C83+C80+C78+C75+C71+C51+C53+C47+C32+C92+C18</f>
        <v>144524864.28631666</v>
      </c>
      <c r="D106" s="38">
        <f t="shared" si="80"/>
        <v>1734298372</v>
      </c>
      <c r="E106" s="38">
        <f t="shared" si="80"/>
        <v>106784626</v>
      </c>
      <c r="F106" s="38">
        <f t="shared" si="80"/>
        <v>106784626</v>
      </c>
      <c r="G106" s="38">
        <f t="shared" si="80"/>
        <v>127971889</v>
      </c>
      <c r="H106" s="38">
        <f t="shared" si="80"/>
        <v>234756515</v>
      </c>
      <c r="I106" s="38">
        <f t="shared" si="80"/>
        <v>127122034</v>
      </c>
      <c r="J106" s="38">
        <f t="shared" si="80"/>
        <v>361878549</v>
      </c>
      <c r="K106" s="38">
        <f t="shared" si="80"/>
        <v>136241658</v>
      </c>
      <c r="L106" s="38">
        <f t="shared" si="80"/>
        <v>498120080</v>
      </c>
      <c r="M106" s="38">
        <f t="shared" si="80"/>
        <v>139980452</v>
      </c>
      <c r="N106" s="38">
        <f t="shared" si="80"/>
        <v>638100532</v>
      </c>
      <c r="O106" s="38">
        <f t="shared" si="80"/>
        <v>1156205381</v>
      </c>
      <c r="P106" s="78">
        <f>J106/D106</f>
        <v>0.20865991391243721</v>
      </c>
    </row>
    <row r="107" spans="2:18" ht="15" customHeight="1" x14ac:dyDescent="0.3">
      <c r="B107" s="96"/>
      <c r="C107" s="62"/>
      <c r="D107" s="62"/>
      <c r="E107" s="62"/>
      <c r="F107" s="62"/>
      <c r="G107" s="62"/>
      <c r="H107" s="62"/>
      <c r="I107" s="62"/>
      <c r="J107" s="62"/>
      <c r="K107" s="62"/>
      <c r="L107" s="62"/>
      <c r="M107" s="62"/>
      <c r="N107" s="62"/>
      <c r="O107" s="62"/>
      <c r="P107" s="83"/>
    </row>
    <row r="108" spans="2:18" ht="15" customHeight="1" x14ac:dyDescent="0.3">
      <c r="B108" s="24" t="s">
        <v>87</v>
      </c>
      <c r="C108" s="25">
        <f t="shared" ref="C108:O108" si="81">+C15-C106</f>
        <v>1970499.04701671</v>
      </c>
      <c r="D108" s="25">
        <f t="shared" si="81"/>
        <v>23645988</v>
      </c>
      <c r="E108" s="25">
        <f t="shared" si="81"/>
        <v>11220024.360000014</v>
      </c>
      <c r="F108" s="25">
        <f t="shared" si="81"/>
        <v>11220024.360000014</v>
      </c>
      <c r="G108" s="25">
        <f t="shared" si="81"/>
        <v>41531571</v>
      </c>
      <c r="H108" s="25">
        <f t="shared" si="81"/>
        <v>52751595.360000014</v>
      </c>
      <c r="I108" s="25">
        <f t="shared" si="81"/>
        <v>95196326.639999986</v>
      </c>
      <c r="J108" s="25">
        <f t="shared" si="81"/>
        <v>147947922</v>
      </c>
      <c r="K108" s="25">
        <f t="shared" si="81"/>
        <v>154881861.02999997</v>
      </c>
      <c r="L108" s="25">
        <f t="shared" si="81"/>
        <v>302829910.02999997</v>
      </c>
      <c r="M108" s="25">
        <f t="shared" si="81"/>
        <v>137340292.97000003</v>
      </c>
      <c r="N108" s="25">
        <f>+N15-N106</f>
        <v>440170203</v>
      </c>
      <c r="O108" s="25">
        <f t="shared" si="81"/>
        <v>-476531756</v>
      </c>
      <c r="P108" s="76">
        <f>J108/D108</f>
        <v>6.2567874939292025</v>
      </c>
    </row>
    <row r="109" spans="2:18" ht="15" customHeight="1" x14ac:dyDescent="0.3">
      <c r="B109" s="103"/>
      <c r="C109" s="104"/>
      <c r="D109" s="104"/>
      <c r="E109" s="104"/>
      <c r="F109" s="104"/>
      <c r="G109" s="104"/>
      <c r="H109" s="104"/>
      <c r="I109" s="104"/>
      <c r="J109" s="104"/>
      <c r="K109" s="104"/>
      <c r="L109" s="104"/>
      <c r="M109" s="104"/>
      <c r="N109" s="104"/>
      <c r="O109" s="104"/>
      <c r="P109" s="105"/>
    </row>
    <row r="110" spans="2:18" ht="15" customHeight="1" x14ac:dyDescent="0.3">
      <c r="B110" s="24" t="s">
        <v>88</v>
      </c>
      <c r="C110" s="25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5">
        <f>+L110+M110</f>
        <v>0</v>
      </c>
      <c r="O110" s="25"/>
      <c r="P110" s="55"/>
    </row>
    <row r="111" spans="2:18" ht="15" customHeight="1" x14ac:dyDescent="0.3">
      <c r="B111" s="12" t="s">
        <v>89</v>
      </c>
      <c r="C111" s="25"/>
      <c r="D111" s="17">
        <v>9000000</v>
      </c>
      <c r="E111" s="17"/>
      <c r="F111" s="4"/>
      <c r="G111" s="4"/>
      <c r="H111" s="4"/>
      <c r="I111" s="4"/>
      <c r="J111" s="4"/>
      <c r="K111" s="4"/>
      <c r="L111" s="4"/>
      <c r="M111" s="4"/>
      <c r="N111" s="25">
        <f t="shared" ref="N111:N115" si="82">+L111+M111</f>
        <v>0</v>
      </c>
      <c r="O111" s="17">
        <f>+D111-N111</f>
        <v>9000000</v>
      </c>
      <c r="P111" s="54">
        <f>N111/D111</f>
        <v>0</v>
      </c>
    </row>
    <row r="112" spans="2:18" ht="15" customHeight="1" x14ac:dyDescent="0.3">
      <c r="B112" s="79" t="s">
        <v>90</v>
      </c>
      <c r="C112" s="25"/>
      <c r="D112" s="36">
        <f>800000*4</f>
        <v>3200000</v>
      </c>
      <c r="E112" s="36"/>
      <c r="F112" s="33"/>
      <c r="G112" s="4"/>
      <c r="H112" s="4"/>
      <c r="I112" s="4"/>
      <c r="J112" s="4"/>
      <c r="K112" s="33"/>
      <c r="L112" s="33"/>
      <c r="M112" s="33"/>
      <c r="N112" s="25">
        <f t="shared" si="82"/>
        <v>0</v>
      </c>
      <c r="O112" s="17">
        <f t="shared" ref="O112:O113" si="83">+D112-N112</f>
        <v>3200000</v>
      </c>
      <c r="P112" s="54">
        <f t="shared" ref="P112:P114" si="84">N112/D112</f>
        <v>0</v>
      </c>
    </row>
    <row r="113" spans="2:16" ht="15" customHeight="1" x14ac:dyDescent="0.3">
      <c r="B113" s="97" t="s">
        <v>91</v>
      </c>
      <c r="C113" s="26"/>
      <c r="D113" s="41">
        <v>4000000</v>
      </c>
      <c r="E113" s="41"/>
      <c r="F113" s="33"/>
      <c r="G113" s="33">
        <v>4680000</v>
      </c>
      <c r="H113" s="33">
        <f>+G113</f>
        <v>4680000</v>
      </c>
      <c r="I113" s="33"/>
      <c r="J113" s="33">
        <f>+H113+I113</f>
        <v>4680000</v>
      </c>
      <c r="K113" s="33"/>
      <c r="L113" s="33">
        <f>+J113+K113</f>
        <v>4680000</v>
      </c>
      <c r="M113" s="33"/>
      <c r="N113" s="33">
        <f t="shared" si="82"/>
        <v>4680000</v>
      </c>
      <c r="O113" s="17">
        <f t="shared" si="83"/>
        <v>-680000</v>
      </c>
      <c r="P113" s="54">
        <f t="shared" si="84"/>
        <v>1.17</v>
      </c>
    </row>
    <row r="114" spans="2:16" ht="15" customHeight="1" x14ac:dyDescent="0.3">
      <c r="B114" s="98" t="s">
        <v>92</v>
      </c>
      <c r="C114" s="27"/>
      <c r="D114" s="42">
        <f>SUM(D111:D113)</f>
        <v>16200000</v>
      </c>
      <c r="E114" s="42">
        <f t="shared" ref="E114:O114" si="85">SUM(E111:E113)</f>
        <v>0</v>
      </c>
      <c r="F114" s="42">
        <f t="shared" si="85"/>
        <v>0</v>
      </c>
      <c r="G114" s="42">
        <f t="shared" si="85"/>
        <v>4680000</v>
      </c>
      <c r="H114" s="42">
        <f t="shared" si="85"/>
        <v>4680000</v>
      </c>
      <c r="I114" s="42">
        <f t="shared" si="85"/>
        <v>0</v>
      </c>
      <c r="J114" s="42">
        <f t="shared" si="85"/>
        <v>4680000</v>
      </c>
      <c r="K114" s="42">
        <f t="shared" si="85"/>
        <v>0</v>
      </c>
      <c r="L114" s="42">
        <f t="shared" si="85"/>
        <v>4680000</v>
      </c>
      <c r="M114" s="42">
        <f t="shared" si="85"/>
        <v>0</v>
      </c>
      <c r="N114" s="42">
        <f t="shared" si="85"/>
        <v>4680000</v>
      </c>
      <c r="O114" s="42">
        <f t="shared" si="85"/>
        <v>11520000</v>
      </c>
      <c r="P114" s="55">
        <f t="shared" si="84"/>
        <v>0.28888888888888886</v>
      </c>
    </row>
    <row r="115" spans="2:16" ht="15" customHeight="1" thickBot="1" x14ac:dyDescent="0.35">
      <c r="B115" s="99"/>
      <c r="C115" s="100"/>
      <c r="D115" s="101"/>
      <c r="E115" s="101"/>
      <c r="F115" s="101"/>
      <c r="G115" s="101"/>
      <c r="H115" s="101"/>
      <c r="I115" s="101"/>
      <c r="J115" s="101"/>
      <c r="K115" s="101"/>
      <c r="L115" s="101"/>
      <c r="M115" s="101"/>
      <c r="N115" s="25">
        <f t="shared" si="82"/>
        <v>0</v>
      </c>
      <c r="O115" s="101"/>
      <c r="P115" s="102"/>
    </row>
    <row r="116" spans="2:16" ht="15" customHeight="1" x14ac:dyDescent="0.3">
      <c r="B116" s="71" t="s">
        <v>15</v>
      </c>
      <c r="C116" s="72"/>
      <c r="D116" s="73">
        <f>D108-D114</f>
        <v>7445988</v>
      </c>
      <c r="E116" s="73">
        <f>E108-E114</f>
        <v>11220024.360000014</v>
      </c>
      <c r="F116" s="73">
        <f>F108-F114</f>
        <v>11220024.360000014</v>
      </c>
      <c r="G116" s="73">
        <f t="shared" ref="G116:M116" si="86">G108-G114</f>
        <v>36851571</v>
      </c>
      <c r="H116" s="73">
        <f t="shared" si="86"/>
        <v>48071595.360000014</v>
      </c>
      <c r="I116" s="73">
        <f t="shared" si="86"/>
        <v>95196326.639999986</v>
      </c>
      <c r="J116" s="73">
        <f t="shared" si="86"/>
        <v>143267922</v>
      </c>
      <c r="K116" s="73">
        <f t="shared" si="86"/>
        <v>154881861.02999997</v>
      </c>
      <c r="L116" s="73">
        <f t="shared" si="86"/>
        <v>298149910.02999997</v>
      </c>
      <c r="M116" s="73">
        <f t="shared" si="86"/>
        <v>137340292.97000003</v>
      </c>
      <c r="N116" s="73">
        <f>N108-N114</f>
        <v>435490203</v>
      </c>
      <c r="O116" s="73">
        <f>O108-O114</f>
        <v>-488051756</v>
      </c>
      <c r="P116" s="74">
        <f>F116/D116</f>
        <v>1.5068550150765774</v>
      </c>
    </row>
    <row r="120" spans="2:16" x14ac:dyDescent="0.3">
      <c r="B120" s="121" t="s">
        <v>102</v>
      </c>
      <c r="D120" s="121" t="s">
        <v>103</v>
      </c>
      <c r="G120" s="122" t="s">
        <v>104</v>
      </c>
    </row>
    <row r="121" spans="2:16" x14ac:dyDescent="0.3">
      <c r="B121" t="s">
        <v>105</v>
      </c>
      <c r="D121" t="s">
        <v>106</v>
      </c>
      <c r="G121" s="32" t="s">
        <v>107</v>
      </c>
    </row>
  </sheetData>
  <mergeCells count="1">
    <mergeCell ref="B4:P4"/>
  </mergeCells>
  <pageMargins left="0.70866141732283472" right="0.11811023622047245" top="0.55118110236220474" bottom="0.35433070866141736" header="0.31496062992125984" footer="0.31496062992125984"/>
  <pageSetup paperSize="5" scale="75" orientation="landscape" r:id="rId1"/>
  <headerFooter>
    <oddHeader>&amp;C&amp;G</oddHeader>
    <oddFooter>&amp;C&amp;G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jose martinez</dc:creator>
  <cp:keywords/>
  <dc:description/>
  <cp:lastModifiedBy>jose martinez</cp:lastModifiedBy>
  <cp:revision/>
  <cp:lastPrinted>2026-06-25T21:00:16Z</cp:lastPrinted>
  <dcterms:created xsi:type="dcterms:W3CDTF">2026-03-04T20:26:35Z</dcterms:created>
  <dcterms:modified xsi:type="dcterms:W3CDTF">2026-07-01T20:37:26Z</dcterms:modified>
  <cp:category/>
  <cp:contentStatus/>
</cp:coreProperties>
</file>